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drawings/drawing1.xml" ContentType="application/vnd.openxmlformats-officedocument.drawing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drawings/drawing2.xml" ContentType="application/vnd.openxmlformats-officedocument.drawing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customXml/itemProps1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12"/>
  <workbookPr/>
  <mc:AlternateContent xmlns:mc="http://schemas.openxmlformats.org/markup-compatibility/2006">
    <mc:Choice Requires="x15">
      <x15ac:absPath xmlns:x15ac="http://schemas.microsoft.com/office/spreadsheetml/2010/11/ac" url="https://besway-my.sharepoint.com/personal/mbutterfield_vireosystems_com/Documents/Documents/"/>
    </mc:Choice>
  </mc:AlternateContent>
  <xr:revisionPtr revIDLastSave="0" documentId="8_{22F4A2A2-D500-4DCC-9FA5-AFCEF5FEA250}" xr6:coauthVersionLast="47" xr6:coauthVersionMax="47" xr10:uidLastSave="{00000000-0000-0000-0000-000000000000}"/>
  <bookViews>
    <workbookView xWindow="-135" yWindow="-135" windowWidth="29070" windowHeight="15750" firstSheet="2" activeTab="2" xr2:uid="{1BDDCA03-0C23-48DB-BB08-33151E00CD20}"/>
  </bookViews>
  <sheets>
    <sheet name="Vendor Comparison" sheetId="12" r:id="rId1"/>
    <sheet name="Sample List" sheetId="13" r:id="rId2"/>
    <sheet name="Forcast &amp; Budget Concret" sheetId="11" r:id="rId3"/>
    <sheet name="T-shirt" sheetId="1" r:id="rId4"/>
    <sheet name="Hat" sheetId="3" r:id="rId5"/>
    <sheet name="Shaker" sheetId="2" r:id="rId6"/>
    <sheet name="Sticker" sheetId="4" r:id="rId7"/>
    <sheet name="Pricing Forcast &amp; Budget PHD" sheetId="15" r:id="rId8"/>
  </sheets>
  <definedNames>
    <definedName name="Pricing">'T-shirt'!$D:$D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5" i="11" l="1"/>
  <c r="T9" i="11"/>
  <c r="H26" i="13"/>
  <c r="H25" i="13"/>
  <c r="E12" i="11"/>
  <c r="Q18" i="11"/>
  <c r="C22" i="11"/>
  <c r="D22" i="11" s="1"/>
  <c r="P25" i="11" s="1"/>
  <c r="C55" i="11"/>
  <c r="D55" i="11" s="1"/>
  <c r="H55" i="11" s="1"/>
  <c r="C71" i="11"/>
  <c r="D71" i="11" s="1"/>
  <c r="C70" i="11"/>
  <c r="D70" i="11" s="1"/>
  <c r="C69" i="11"/>
  <c r="D69" i="11" s="1"/>
  <c r="C68" i="11"/>
  <c r="D68" i="11" s="1"/>
  <c r="C67" i="11"/>
  <c r="D67" i="11" s="1"/>
  <c r="C66" i="11"/>
  <c r="D66" i="11" s="1"/>
  <c r="H66" i="11" s="1"/>
  <c r="C60" i="11"/>
  <c r="D60" i="11" s="1"/>
  <c r="C59" i="11"/>
  <c r="D59" i="11" s="1"/>
  <c r="C58" i="11"/>
  <c r="D58" i="11" s="1"/>
  <c r="C57" i="11"/>
  <c r="D57" i="11" s="1"/>
  <c r="C56" i="11"/>
  <c r="D56" i="11" s="1"/>
  <c r="C49" i="11"/>
  <c r="D49" i="11" s="1"/>
  <c r="C48" i="11"/>
  <c r="D48" i="11" s="1"/>
  <c r="C47" i="11"/>
  <c r="D47" i="11" s="1"/>
  <c r="C46" i="11"/>
  <c r="D46" i="11" s="1"/>
  <c r="C45" i="11"/>
  <c r="D45" i="11" s="1"/>
  <c r="C44" i="11"/>
  <c r="D44" i="11" s="1"/>
  <c r="C38" i="11"/>
  <c r="D38" i="11" s="1"/>
  <c r="U37" i="11" s="1"/>
  <c r="C37" i="11"/>
  <c r="D37" i="11" s="1"/>
  <c r="T36" i="11" s="1"/>
  <c r="C36" i="11"/>
  <c r="D36" i="11" s="1"/>
  <c r="S34" i="11" s="1"/>
  <c r="C35" i="11"/>
  <c r="D35" i="11" s="1"/>
  <c r="R34" i="11" s="1"/>
  <c r="C34" i="11"/>
  <c r="D34" i="11" s="1"/>
  <c r="Q34" i="11" s="1"/>
  <c r="C33" i="11"/>
  <c r="D33" i="11" s="1"/>
  <c r="P38" i="11" s="1"/>
  <c r="C24" i="11"/>
  <c r="D24" i="11" s="1"/>
  <c r="C23" i="11"/>
  <c r="D23" i="11" s="1"/>
  <c r="Q25" i="11" s="1"/>
  <c r="C27" i="11"/>
  <c r="D27" i="11" s="1"/>
  <c r="U26" i="11" s="1"/>
  <c r="C26" i="11"/>
  <c r="D26" i="11" s="1"/>
  <c r="T28" i="11" s="1"/>
  <c r="I15" i="12"/>
  <c r="J64" i="15"/>
  <c r="J53" i="15"/>
  <c r="J31" i="15"/>
  <c r="J20" i="15"/>
  <c r="J42" i="15"/>
  <c r="E71" i="15"/>
  <c r="C71" i="15"/>
  <c r="D71" i="15" s="1"/>
  <c r="F71" i="15" s="1"/>
  <c r="E70" i="15"/>
  <c r="C70" i="15"/>
  <c r="D70" i="15" s="1"/>
  <c r="F70" i="15" s="1"/>
  <c r="E69" i="15"/>
  <c r="C69" i="15"/>
  <c r="D69" i="15" s="1"/>
  <c r="E68" i="15"/>
  <c r="C68" i="15"/>
  <c r="D68" i="15" s="1"/>
  <c r="F68" i="15" s="1"/>
  <c r="E67" i="15"/>
  <c r="C67" i="15"/>
  <c r="D67" i="15" s="1"/>
  <c r="F67" i="15" s="1"/>
  <c r="E66" i="15"/>
  <c r="C66" i="15"/>
  <c r="D66" i="15" s="1"/>
  <c r="P63" i="15"/>
  <c r="Q63" i="15" s="1"/>
  <c r="E60" i="15"/>
  <c r="C60" i="15"/>
  <c r="D60" i="15" s="1"/>
  <c r="F60" i="15" s="1"/>
  <c r="E59" i="15"/>
  <c r="C59" i="15"/>
  <c r="D59" i="15" s="1"/>
  <c r="F59" i="15" s="1"/>
  <c r="E58" i="15"/>
  <c r="C58" i="15"/>
  <c r="D58" i="15" s="1"/>
  <c r="F58" i="15" s="1"/>
  <c r="E57" i="15"/>
  <c r="C57" i="15"/>
  <c r="D57" i="15" s="1"/>
  <c r="F57" i="15" s="1"/>
  <c r="E56" i="15"/>
  <c r="C56" i="15"/>
  <c r="D56" i="15" s="1"/>
  <c r="F56" i="15" s="1"/>
  <c r="E55" i="15"/>
  <c r="D55" i="15"/>
  <c r="C55" i="15"/>
  <c r="E49" i="15"/>
  <c r="C49" i="15"/>
  <c r="D49" i="15" s="1"/>
  <c r="F49" i="15" s="1"/>
  <c r="E48" i="15"/>
  <c r="C48" i="15"/>
  <c r="D48" i="15" s="1"/>
  <c r="F48" i="15" s="1"/>
  <c r="E47" i="15"/>
  <c r="C47" i="15"/>
  <c r="D47" i="15" s="1"/>
  <c r="F47" i="15" s="1"/>
  <c r="E46" i="15"/>
  <c r="C46" i="15"/>
  <c r="D46" i="15" s="1"/>
  <c r="F46" i="15" s="1"/>
  <c r="E45" i="15"/>
  <c r="C45" i="15"/>
  <c r="D45" i="15" s="1"/>
  <c r="F45" i="15" s="1"/>
  <c r="E44" i="15"/>
  <c r="C44" i="15"/>
  <c r="D44" i="15" s="1"/>
  <c r="E38" i="15"/>
  <c r="C38" i="15"/>
  <c r="D38" i="15" s="1"/>
  <c r="E37" i="15"/>
  <c r="C37" i="15"/>
  <c r="D37" i="15" s="1"/>
  <c r="E36" i="15"/>
  <c r="C36" i="15"/>
  <c r="D36" i="15" s="1"/>
  <c r="E35" i="15"/>
  <c r="C35" i="15"/>
  <c r="D35" i="15" s="1"/>
  <c r="E34" i="15"/>
  <c r="C34" i="15"/>
  <c r="D34" i="15" s="1"/>
  <c r="E33" i="15"/>
  <c r="C33" i="15"/>
  <c r="D33" i="15" s="1"/>
  <c r="P36" i="15" s="1"/>
  <c r="E27" i="15"/>
  <c r="C27" i="15"/>
  <c r="D27" i="15" s="1"/>
  <c r="E26" i="15"/>
  <c r="C26" i="15"/>
  <c r="D26" i="15" s="1"/>
  <c r="E25" i="15"/>
  <c r="C25" i="15"/>
  <c r="D25" i="15" s="1"/>
  <c r="E24" i="15"/>
  <c r="C24" i="15"/>
  <c r="D24" i="15" s="1"/>
  <c r="E23" i="15"/>
  <c r="C23" i="15"/>
  <c r="D23" i="15" s="1"/>
  <c r="E22" i="15"/>
  <c r="C22" i="15"/>
  <c r="D22" i="15" s="1"/>
  <c r="W20" i="15"/>
  <c r="R20" i="15"/>
  <c r="Q20" i="15"/>
  <c r="P20" i="15"/>
  <c r="R19" i="15"/>
  <c r="Q19" i="15"/>
  <c r="R18" i="15"/>
  <c r="Q18" i="15"/>
  <c r="R17" i="15"/>
  <c r="Q17" i="15"/>
  <c r="E17" i="15"/>
  <c r="D17" i="15"/>
  <c r="F17" i="15" s="1"/>
  <c r="R16" i="15"/>
  <c r="Q16" i="15"/>
  <c r="E16" i="15"/>
  <c r="D16" i="15"/>
  <c r="F16" i="15" s="1"/>
  <c r="R15" i="15"/>
  <c r="Q15" i="15"/>
  <c r="U20" i="15" s="1"/>
  <c r="E15" i="15"/>
  <c r="F15" i="15" s="1"/>
  <c r="D15" i="15"/>
  <c r="P62" i="15" s="1"/>
  <c r="E14" i="15"/>
  <c r="F14" i="15" s="1"/>
  <c r="D14" i="15"/>
  <c r="P61" i="15" s="1"/>
  <c r="E13" i="15"/>
  <c r="D13" i="15"/>
  <c r="F13" i="15" s="1"/>
  <c r="E12" i="15"/>
  <c r="D12" i="15"/>
  <c r="F12" i="15" s="1"/>
  <c r="S8" i="15"/>
  <c r="U8" i="15" s="1"/>
  <c r="R8" i="15"/>
  <c r="G8" i="15"/>
  <c r="F8" i="15"/>
  <c r="J66" i="15" s="1"/>
  <c r="D8" i="15"/>
  <c r="S7" i="15"/>
  <c r="U7" i="15" s="1"/>
  <c r="R7" i="15"/>
  <c r="G7" i="15"/>
  <c r="F7" i="15"/>
  <c r="J55" i="15" s="1"/>
  <c r="D7" i="15"/>
  <c r="S6" i="15"/>
  <c r="U6" i="15" s="1"/>
  <c r="R6" i="15"/>
  <c r="G6" i="15"/>
  <c r="F6" i="15"/>
  <c r="J44" i="15" s="1"/>
  <c r="D6" i="15"/>
  <c r="S5" i="15"/>
  <c r="U5" i="15" s="1"/>
  <c r="R5" i="15"/>
  <c r="G5" i="15"/>
  <c r="F5" i="15"/>
  <c r="J33" i="15" s="1"/>
  <c r="D5" i="15"/>
  <c r="S4" i="15"/>
  <c r="U4" i="15" s="1"/>
  <c r="R4" i="15"/>
  <c r="G4" i="15"/>
  <c r="F4" i="15"/>
  <c r="D4" i="15"/>
  <c r="B15" i="12"/>
  <c r="D15" i="12" s="1"/>
  <c r="B54" i="12"/>
  <c r="D54" i="12" s="1"/>
  <c r="A54" i="12"/>
  <c r="B53" i="12"/>
  <c r="D53" i="12" s="1"/>
  <c r="A53" i="12"/>
  <c r="B52" i="12"/>
  <c r="D52" i="12" s="1"/>
  <c r="A52" i="12"/>
  <c r="B51" i="12"/>
  <c r="D51" i="12" s="1"/>
  <c r="A51" i="12"/>
  <c r="B50" i="12"/>
  <c r="D50" i="12" s="1"/>
  <c r="A50" i="12"/>
  <c r="G46" i="12"/>
  <c r="F46" i="12"/>
  <c r="D46" i="12"/>
  <c r="G45" i="12"/>
  <c r="F45" i="12"/>
  <c r="D45" i="12"/>
  <c r="G44" i="12"/>
  <c r="F44" i="12"/>
  <c r="D44" i="12"/>
  <c r="G43" i="12"/>
  <c r="F43" i="12"/>
  <c r="D43" i="12"/>
  <c r="G42" i="12"/>
  <c r="F42" i="12"/>
  <c r="D42" i="12"/>
  <c r="B36" i="12"/>
  <c r="D36" i="12" s="1"/>
  <c r="A36" i="12"/>
  <c r="B35" i="12"/>
  <c r="D35" i="12" s="1"/>
  <c r="A35" i="12"/>
  <c r="B34" i="12"/>
  <c r="D34" i="12" s="1"/>
  <c r="A34" i="12"/>
  <c r="B33" i="12"/>
  <c r="D33" i="12" s="1"/>
  <c r="A33" i="12"/>
  <c r="B32" i="12"/>
  <c r="D32" i="12" s="1"/>
  <c r="A32" i="12"/>
  <c r="G28" i="12"/>
  <c r="F28" i="12"/>
  <c r="D28" i="12"/>
  <c r="G27" i="12"/>
  <c r="F27" i="12"/>
  <c r="D27" i="12"/>
  <c r="G26" i="12"/>
  <c r="F26" i="12"/>
  <c r="D26" i="12"/>
  <c r="G25" i="12"/>
  <c r="F25" i="12"/>
  <c r="D25" i="12"/>
  <c r="G24" i="12"/>
  <c r="F24" i="12"/>
  <c r="D24" i="12"/>
  <c r="F5" i="12"/>
  <c r="F6" i="12"/>
  <c r="B17" i="12"/>
  <c r="D17" i="12" s="1"/>
  <c r="A17" i="12"/>
  <c r="G9" i="12"/>
  <c r="F9" i="12"/>
  <c r="D9" i="12"/>
  <c r="B16" i="12"/>
  <c r="D16" i="12" s="1"/>
  <c r="A16" i="12"/>
  <c r="G8" i="12"/>
  <c r="F8" i="12"/>
  <c r="D8" i="12"/>
  <c r="A15" i="12"/>
  <c r="G7" i="12"/>
  <c r="F7" i="12"/>
  <c r="D7" i="12"/>
  <c r="B14" i="12"/>
  <c r="D14" i="12" s="1"/>
  <c r="A14" i="12"/>
  <c r="G6" i="12"/>
  <c r="D6" i="12"/>
  <c r="B13" i="12"/>
  <c r="D13" i="12" s="1"/>
  <c r="A13" i="12"/>
  <c r="G5" i="12"/>
  <c r="D5" i="12"/>
  <c r="D12" i="11"/>
  <c r="P59" i="11" s="1"/>
  <c r="C25" i="11"/>
  <c r="D25" i="11" s="1"/>
  <c r="S28" i="11" s="1"/>
  <c r="D4" i="11"/>
  <c r="D5" i="11"/>
  <c r="D6" i="11"/>
  <c r="D7" i="11"/>
  <c r="D8" i="11"/>
  <c r="R4" i="11"/>
  <c r="R5" i="11"/>
  <c r="R6" i="11"/>
  <c r="R7" i="11"/>
  <c r="R8" i="11"/>
  <c r="S4" i="11"/>
  <c r="U4" i="11" s="1"/>
  <c r="S5" i="11"/>
  <c r="U5" i="11" s="1"/>
  <c r="S6" i="11"/>
  <c r="U6" i="11" s="1"/>
  <c r="S7" i="11"/>
  <c r="U7" i="11" s="1"/>
  <c r="S8" i="11"/>
  <c r="U8" i="11" s="1"/>
  <c r="F4" i="11"/>
  <c r="J22" i="11" s="1"/>
  <c r="G4" i="11"/>
  <c r="F5" i="11"/>
  <c r="J33" i="11" s="1"/>
  <c r="G5" i="11"/>
  <c r="F6" i="11"/>
  <c r="J44" i="11" s="1"/>
  <c r="G6" i="11"/>
  <c r="F7" i="11"/>
  <c r="J55" i="11" s="1"/>
  <c r="G7" i="11"/>
  <c r="F8" i="11"/>
  <c r="J66" i="11" s="1"/>
  <c r="G8" i="11"/>
  <c r="Q20" i="11"/>
  <c r="E49" i="11"/>
  <c r="E48" i="11"/>
  <c r="E47" i="11"/>
  <c r="E46" i="11"/>
  <c r="E45" i="11"/>
  <c r="E44" i="11"/>
  <c r="R21" i="11"/>
  <c r="R17" i="11"/>
  <c r="R16" i="11"/>
  <c r="R18" i="11"/>
  <c r="R19" i="11"/>
  <c r="R20" i="11"/>
  <c r="P21" i="11"/>
  <c r="Q21" i="11"/>
  <c r="Q19" i="11"/>
  <c r="Q17" i="11"/>
  <c r="Q16" i="11"/>
  <c r="E17" i="11"/>
  <c r="E16" i="11"/>
  <c r="E15" i="11"/>
  <c r="E14" i="11"/>
  <c r="E13" i="11"/>
  <c r="E71" i="11"/>
  <c r="E70" i="11"/>
  <c r="E69" i="11"/>
  <c r="E68" i="11"/>
  <c r="E67" i="11"/>
  <c r="E66" i="11"/>
  <c r="E60" i="11"/>
  <c r="E59" i="11"/>
  <c r="E58" i="11"/>
  <c r="E57" i="11"/>
  <c r="E56" i="11"/>
  <c r="E55" i="11"/>
  <c r="E38" i="11"/>
  <c r="E37" i="11"/>
  <c r="E36" i="11"/>
  <c r="E35" i="11"/>
  <c r="E34" i="11"/>
  <c r="E33" i="11"/>
  <c r="E27" i="11"/>
  <c r="E26" i="11"/>
  <c r="E25" i="11"/>
  <c r="E24" i="11"/>
  <c r="E23" i="11"/>
  <c r="E22" i="11"/>
  <c r="D13" i="11"/>
  <c r="P60" i="11" s="1"/>
  <c r="D14" i="11"/>
  <c r="P61" i="11" s="1"/>
  <c r="D15" i="11"/>
  <c r="P62" i="11" s="1"/>
  <c r="D16" i="11"/>
  <c r="P63" i="11" s="1"/>
  <c r="D17" i="11"/>
  <c r="P64" i="11" s="1"/>
  <c r="J8" i="11" l="1"/>
  <c r="J4" i="11"/>
  <c r="W3" i="11"/>
  <c r="Q63" i="11"/>
  <c r="L4" i="11"/>
  <c r="Q60" i="11"/>
  <c r="L28" i="11"/>
  <c r="J28" i="11" s="1"/>
  <c r="U37" i="15"/>
  <c r="U34" i="15"/>
  <c r="F38" i="15"/>
  <c r="U33" i="15"/>
  <c r="T35" i="15"/>
  <c r="F37" i="15"/>
  <c r="T36" i="15"/>
  <c r="T37" i="15"/>
  <c r="H33" i="15"/>
  <c r="H34" i="15" s="1"/>
  <c r="H35" i="15" s="1"/>
  <c r="H36" i="15" s="1"/>
  <c r="H37" i="15" s="1"/>
  <c r="H38" i="15" s="1"/>
  <c r="P37" i="15"/>
  <c r="P34" i="15"/>
  <c r="P33" i="15"/>
  <c r="P35" i="15"/>
  <c r="L61" i="15"/>
  <c r="J61" i="15" s="1"/>
  <c r="Q64" i="11"/>
  <c r="Q59" i="11"/>
  <c r="Q62" i="11"/>
  <c r="Q61" i="11"/>
  <c r="W44" i="15"/>
  <c r="F69" i="15"/>
  <c r="L4" i="15"/>
  <c r="Q61" i="15"/>
  <c r="Q62" i="15"/>
  <c r="J4" i="15"/>
  <c r="F26" i="15"/>
  <c r="T27" i="15"/>
  <c r="T26" i="15"/>
  <c r="T25" i="15"/>
  <c r="T24" i="15"/>
  <c r="T23" i="15"/>
  <c r="F27" i="15"/>
  <c r="U27" i="15"/>
  <c r="U26" i="15"/>
  <c r="U24" i="15"/>
  <c r="U23" i="15"/>
  <c r="U25" i="15"/>
  <c r="S35" i="15"/>
  <c r="S34" i="15"/>
  <c r="S33" i="15"/>
  <c r="S36" i="15"/>
  <c r="F36" i="15"/>
  <c r="S37" i="15"/>
  <c r="K39" i="15"/>
  <c r="Q35" i="15"/>
  <c r="Q34" i="15"/>
  <c r="Q33" i="15"/>
  <c r="F34" i="15"/>
  <c r="L39" i="15"/>
  <c r="J39" i="15" s="1"/>
  <c r="Q37" i="15"/>
  <c r="Q36" i="15"/>
  <c r="K36" i="15"/>
  <c r="U9" i="15"/>
  <c r="W42" i="15"/>
  <c r="G12" i="15"/>
  <c r="J16" i="15"/>
  <c r="L13" i="15"/>
  <c r="F25" i="15"/>
  <c r="S27" i="15"/>
  <c r="S26" i="15"/>
  <c r="S25" i="15"/>
  <c r="S24" i="15"/>
  <c r="S23" i="15"/>
  <c r="R35" i="15"/>
  <c r="R33" i="15"/>
  <c r="R37" i="15"/>
  <c r="F35" i="15"/>
  <c r="R34" i="15"/>
  <c r="R36" i="15"/>
  <c r="F44" i="15"/>
  <c r="L50" i="15"/>
  <c r="J50" i="15" s="1"/>
  <c r="K50" i="15"/>
  <c r="K47" i="15"/>
  <c r="H44" i="15"/>
  <c r="K25" i="15"/>
  <c r="H22" i="15"/>
  <c r="K28" i="15"/>
  <c r="P24" i="15"/>
  <c r="P23" i="15"/>
  <c r="F22" i="15"/>
  <c r="P27" i="15"/>
  <c r="P26" i="15"/>
  <c r="P25" i="15"/>
  <c r="L28" i="15"/>
  <c r="J28" i="15" s="1"/>
  <c r="L72" i="15"/>
  <c r="J72" i="15" s="1"/>
  <c r="K72" i="15"/>
  <c r="H66" i="15"/>
  <c r="K69" i="15"/>
  <c r="F66" i="15"/>
  <c r="Q24" i="15"/>
  <c r="Q23" i="15"/>
  <c r="F23" i="15"/>
  <c r="Q27" i="15"/>
  <c r="Q25" i="15"/>
  <c r="Q26" i="15"/>
  <c r="R24" i="15"/>
  <c r="R23" i="15"/>
  <c r="R25" i="15"/>
  <c r="F24" i="15"/>
  <c r="R26" i="15"/>
  <c r="R27" i="15"/>
  <c r="J22" i="15"/>
  <c r="T33" i="15"/>
  <c r="T34" i="15"/>
  <c r="P59" i="15"/>
  <c r="Q59" i="15" s="1"/>
  <c r="U35" i="15"/>
  <c r="F33" i="15"/>
  <c r="W41" i="15"/>
  <c r="F55" i="15"/>
  <c r="K58" i="15"/>
  <c r="P64" i="15"/>
  <c r="Q64" i="15" s="1"/>
  <c r="U36" i="15"/>
  <c r="W43" i="15"/>
  <c r="H55" i="15"/>
  <c r="P60" i="15"/>
  <c r="Q60" i="15" s="1"/>
  <c r="W45" i="15"/>
  <c r="K61" i="15"/>
  <c r="E13" i="12"/>
  <c r="E17" i="12" s="1"/>
  <c r="G13" i="12"/>
  <c r="U9" i="11"/>
  <c r="T63" i="11"/>
  <c r="E50" i="12"/>
  <c r="E54" i="12" s="1"/>
  <c r="G50" i="12"/>
  <c r="F50" i="12" s="1"/>
  <c r="D55" i="12"/>
  <c r="G32" i="12"/>
  <c r="E32" i="12"/>
  <c r="E36" i="12" s="1"/>
  <c r="D37" i="12"/>
  <c r="T61" i="11"/>
  <c r="D18" i="12"/>
  <c r="T62" i="11"/>
  <c r="T64" i="11"/>
  <c r="T60" i="11"/>
  <c r="K25" i="11"/>
  <c r="K47" i="11"/>
  <c r="K69" i="11"/>
  <c r="K58" i="11"/>
  <c r="K36" i="11"/>
  <c r="L61" i="11"/>
  <c r="J61" i="11" s="1"/>
  <c r="L72" i="11"/>
  <c r="J72" i="11" s="1"/>
  <c r="L50" i="11"/>
  <c r="J50" i="11" s="1"/>
  <c r="L39" i="11"/>
  <c r="J39" i="11" s="1"/>
  <c r="H67" i="11"/>
  <c r="H68" i="11" s="1"/>
  <c r="H56" i="11"/>
  <c r="H57" i="11" s="1"/>
  <c r="H58" i="11" s="1"/>
  <c r="P24" i="11"/>
  <c r="F49" i="11"/>
  <c r="F48" i="11"/>
  <c r="H22" i="11"/>
  <c r="H23" i="11" s="1"/>
  <c r="H24" i="11" s="1"/>
  <c r="H25" i="11" s="1"/>
  <c r="H26" i="11" s="1"/>
  <c r="H27" i="11" s="1"/>
  <c r="K39" i="11"/>
  <c r="F44" i="11"/>
  <c r="F47" i="11"/>
  <c r="W21" i="11"/>
  <c r="U21" i="11"/>
  <c r="F46" i="11"/>
  <c r="F45" i="11"/>
  <c r="H44" i="11"/>
  <c r="K72" i="11"/>
  <c r="H33" i="11"/>
  <c r="F24" i="11"/>
  <c r="P35" i="11"/>
  <c r="Q35" i="11"/>
  <c r="P37" i="11"/>
  <c r="U27" i="11"/>
  <c r="U35" i="11"/>
  <c r="U34" i="11"/>
  <c r="U36" i="11"/>
  <c r="U38" i="11"/>
  <c r="F33" i="11"/>
  <c r="F70" i="11"/>
  <c r="U24" i="11"/>
  <c r="U25" i="11"/>
  <c r="F57" i="11"/>
  <c r="U28" i="11"/>
  <c r="F58" i="11"/>
  <c r="R35" i="11"/>
  <c r="T34" i="11"/>
  <c r="S35" i="11"/>
  <c r="Q37" i="11"/>
  <c r="R37" i="11"/>
  <c r="S37" i="11"/>
  <c r="T37" i="11"/>
  <c r="Q38" i="11"/>
  <c r="Q36" i="11"/>
  <c r="S38" i="11"/>
  <c r="R38" i="11"/>
  <c r="P34" i="11"/>
  <c r="R36" i="11"/>
  <c r="T38" i="11"/>
  <c r="S36" i="11"/>
  <c r="T35" i="11"/>
  <c r="P36" i="11"/>
  <c r="T25" i="11"/>
  <c r="P27" i="11"/>
  <c r="Q27" i="11"/>
  <c r="P26" i="11"/>
  <c r="R27" i="11"/>
  <c r="S27" i="11"/>
  <c r="Q26" i="11"/>
  <c r="R26" i="11"/>
  <c r="T27" i="11"/>
  <c r="Q24" i="11"/>
  <c r="S26" i="11"/>
  <c r="R25" i="11"/>
  <c r="T26" i="11"/>
  <c r="S25" i="11"/>
  <c r="R24" i="11"/>
  <c r="P28" i="11"/>
  <c r="S24" i="11"/>
  <c r="Q28" i="11"/>
  <c r="T24" i="11"/>
  <c r="R28" i="11"/>
  <c r="F71" i="11"/>
  <c r="F67" i="11"/>
  <c r="F34" i="11"/>
  <c r="F60" i="11"/>
  <c r="F35" i="11"/>
  <c r="F36" i="11"/>
  <c r="F37" i="11"/>
  <c r="F66" i="11"/>
  <c r="K28" i="11"/>
  <c r="F68" i="11"/>
  <c r="F56" i="11"/>
  <c r="F69" i="11"/>
  <c r="K61" i="11"/>
  <c r="F59" i="11"/>
  <c r="F55" i="11"/>
  <c r="F38" i="11"/>
  <c r="F25" i="11"/>
  <c r="F23" i="11"/>
  <c r="F27" i="11"/>
  <c r="F26" i="11"/>
  <c r="F22" i="11"/>
  <c r="K50" i="11"/>
  <c r="F12" i="11"/>
  <c r="F17" i="11"/>
  <c r="F16" i="11"/>
  <c r="F15" i="11"/>
  <c r="F14" i="11"/>
  <c r="F13" i="11"/>
  <c r="W4" i="11" l="1"/>
  <c r="W7" i="11" s="1"/>
  <c r="W6" i="11"/>
  <c r="L13" i="11"/>
  <c r="K13" i="11" s="1"/>
  <c r="K16" i="11" s="1"/>
  <c r="V35" i="15"/>
  <c r="W35" i="15" s="1"/>
  <c r="J36" i="15" a="1"/>
  <c r="J36" i="15" s="1"/>
  <c r="V37" i="15"/>
  <c r="W37" i="15" s="1"/>
  <c r="V33" i="15"/>
  <c r="W33" i="15" s="1"/>
  <c r="V34" i="15"/>
  <c r="W34" i="15" s="1"/>
  <c r="J16" i="11"/>
  <c r="K4" i="15"/>
  <c r="J8" i="15"/>
  <c r="K8" i="15" s="1"/>
  <c r="L8" i="15" s="1"/>
  <c r="K13" i="15"/>
  <c r="K16" i="15" s="1"/>
  <c r="L16" i="15" s="1"/>
  <c r="V36" i="15"/>
  <c r="W36" i="15" s="1"/>
  <c r="L58" i="15"/>
  <c r="G55" i="15"/>
  <c r="V26" i="15"/>
  <c r="W26" i="15" s="1"/>
  <c r="V27" i="15"/>
  <c r="W27" i="15" s="1"/>
  <c r="L36" i="15"/>
  <c r="G33" i="15"/>
  <c r="G22" i="15"/>
  <c r="L25" i="15"/>
  <c r="V25" i="15"/>
  <c r="W25" i="15" s="1"/>
  <c r="V23" i="15"/>
  <c r="W23" i="15" s="1"/>
  <c r="H67" i="15"/>
  <c r="H68" i="15" s="1"/>
  <c r="H69" i="15" s="1"/>
  <c r="H70" i="15" s="1"/>
  <c r="H71" i="15" s="1"/>
  <c r="J69" i="15" a="1"/>
  <c r="J69" i="15" s="1"/>
  <c r="L47" i="15"/>
  <c r="G44" i="15"/>
  <c r="V24" i="15"/>
  <c r="W24" i="15" s="1"/>
  <c r="G13" i="15"/>
  <c r="H23" i="15"/>
  <c r="H24" i="15" s="1"/>
  <c r="H25" i="15" s="1"/>
  <c r="H26" i="15" s="1"/>
  <c r="H27" i="15" s="1"/>
  <c r="H56" i="15"/>
  <c r="H57" i="15" s="1"/>
  <c r="H58" i="15" s="1"/>
  <c r="H59" i="15" s="1"/>
  <c r="H60" i="15" s="1"/>
  <c r="L69" i="15"/>
  <c r="G66" i="15"/>
  <c r="H45" i="15"/>
  <c r="H46" i="15" s="1"/>
  <c r="H47" i="15" s="1"/>
  <c r="H48" i="15" s="1"/>
  <c r="H49" i="15" s="1"/>
  <c r="F54" i="12"/>
  <c r="G54" i="12" s="1"/>
  <c r="F13" i="12"/>
  <c r="F36" i="12"/>
  <c r="G36" i="12" s="1"/>
  <c r="F32" i="12"/>
  <c r="G12" i="11"/>
  <c r="L25" i="11"/>
  <c r="G33" i="11"/>
  <c r="G34" i="11" s="1"/>
  <c r="G35" i="11" s="1"/>
  <c r="G36" i="11" s="1"/>
  <c r="G37" i="11" s="1"/>
  <c r="G38" i="11" s="1"/>
  <c r="L36" i="11"/>
  <c r="G44" i="11"/>
  <c r="G45" i="11" s="1"/>
  <c r="G46" i="11" s="1"/>
  <c r="G47" i="11" s="1"/>
  <c r="G48" i="11" s="1"/>
  <c r="G49" i="11" s="1"/>
  <c r="L47" i="11"/>
  <c r="G55" i="11"/>
  <c r="G56" i="11" s="1"/>
  <c r="G57" i="11" s="1"/>
  <c r="G58" i="11" s="1"/>
  <c r="G59" i="11" s="1"/>
  <c r="G60" i="11" s="1"/>
  <c r="L55" i="11" s="1"/>
  <c r="L58" i="11"/>
  <c r="G66" i="11"/>
  <c r="G67" i="11" s="1"/>
  <c r="G68" i="11" s="1"/>
  <c r="G69" i="11" s="1"/>
  <c r="G70" i="11" s="1"/>
  <c r="G71" i="11" s="1"/>
  <c r="L69" i="11"/>
  <c r="G22" i="11"/>
  <c r="G23" i="11" s="1"/>
  <c r="G24" i="11" s="1"/>
  <c r="G25" i="11" s="1"/>
  <c r="G26" i="11" s="1"/>
  <c r="G27" i="11" s="1"/>
  <c r="L22" i="11" s="1"/>
  <c r="K4" i="11"/>
  <c r="V24" i="11"/>
  <c r="W24" i="11" s="1"/>
  <c r="V25" i="11"/>
  <c r="W25" i="11" s="1"/>
  <c r="H69" i="11"/>
  <c r="H70" i="11" s="1"/>
  <c r="H71" i="11" s="1"/>
  <c r="J69" i="11" s="1" a="1"/>
  <c r="J69" i="11" s="1"/>
  <c r="H34" i="11"/>
  <c r="H35" i="11" s="1"/>
  <c r="H36" i="11" s="1"/>
  <c r="H37" i="11" s="1"/>
  <c r="H38" i="11" s="1"/>
  <c r="H59" i="11"/>
  <c r="H45" i="11"/>
  <c r="H46" i="11" s="1"/>
  <c r="H47" i="11" s="1"/>
  <c r="H48" i="11" s="1"/>
  <c r="H49" i="11" s="1"/>
  <c r="V34" i="11"/>
  <c r="W34" i="11" s="1"/>
  <c r="V37" i="11"/>
  <c r="W37" i="11" s="1"/>
  <c r="V27" i="11"/>
  <c r="W27" i="11" s="1"/>
  <c r="V28" i="11"/>
  <c r="W28" i="11" s="1"/>
  <c r="V26" i="11"/>
  <c r="W26" i="11" s="1"/>
  <c r="V36" i="11"/>
  <c r="W36" i="11" s="1"/>
  <c r="V38" i="11"/>
  <c r="W38" i="11" s="1"/>
  <c r="V35" i="11"/>
  <c r="W35" i="11" s="1"/>
  <c r="K33" i="11" l="1"/>
  <c r="L33" i="11" s="1"/>
  <c r="M36" i="11" s="1"/>
  <c r="P4" i="15"/>
  <c r="J47" i="15" a="1"/>
  <c r="J47" i="15" s="1"/>
  <c r="G67" i="15"/>
  <c r="G68" i="15" s="1"/>
  <c r="G69" i="15" s="1"/>
  <c r="G70" i="15" s="1"/>
  <c r="G71" i="15" s="1"/>
  <c r="M66" i="15" a="1"/>
  <c r="M66" i="15" s="1"/>
  <c r="J58" i="15" a="1"/>
  <c r="J58" i="15" s="1"/>
  <c r="G23" i="15"/>
  <c r="G24" i="15" s="1"/>
  <c r="G25" i="15" s="1"/>
  <c r="G26" i="15" s="1"/>
  <c r="G27" i="15" s="1"/>
  <c r="G34" i="15"/>
  <c r="G35" i="15" s="1"/>
  <c r="G36" i="15" s="1"/>
  <c r="G37" i="15" s="1"/>
  <c r="G38" i="15" s="1"/>
  <c r="K33" i="15" s="1"/>
  <c r="L33" i="15" s="1"/>
  <c r="M36" i="15" s="1"/>
  <c r="J25" i="15" a="1"/>
  <c r="J25" i="15" s="1"/>
  <c r="G45" i="15"/>
  <c r="G46" i="15" s="1"/>
  <c r="G47" i="15" s="1"/>
  <c r="G48" i="15" s="1"/>
  <c r="G49" i="15" s="1"/>
  <c r="G14" i="15"/>
  <c r="P5" i="15"/>
  <c r="G56" i="15"/>
  <c r="G57" i="15" s="1"/>
  <c r="G58" i="15" s="1"/>
  <c r="G59" i="15" s="1"/>
  <c r="G60" i="15" s="1"/>
  <c r="L66" i="11"/>
  <c r="K66" i="11"/>
  <c r="F17" i="12"/>
  <c r="G17" i="12" s="1"/>
  <c r="G13" i="11"/>
  <c r="L16" i="11"/>
  <c r="J47" i="11" a="1"/>
  <c r="J47" i="11" s="1"/>
  <c r="J36" i="11" a="1"/>
  <c r="J36" i="11" s="1"/>
  <c r="J25" i="11" a="1"/>
  <c r="J25" i="11" s="1"/>
  <c r="M33" i="11" a="1"/>
  <c r="M33" i="11" s="1"/>
  <c r="H60" i="11"/>
  <c r="J58" i="11" s="1" a="1"/>
  <c r="J58" i="11" s="1"/>
  <c r="M22" i="11" a="1"/>
  <c r="M22" i="11" s="1"/>
  <c r="M66" i="11" a="1"/>
  <c r="M66" i="11" s="1"/>
  <c r="K55" i="11"/>
  <c r="M58" i="11" s="1"/>
  <c r="M55" i="11" a="1"/>
  <c r="M55" i="11" s="1"/>
  <c r="K44" i="11"/>
  <c r="L44" i="11"/>
  <c r="M44" i="11" a="1"/>
  <c r="M44" i="11" s="1"/>
  <c r="K22" i="11"/>
  <c r="M44" i="15" l="1" a="1"/>
  <c r="M44" i="15" s="1"/>
  <c r="M55" i="15" a="1"/>
  <c r="M55" i="15" s="1"/>
  <c r="G15" i="15"/>
  <c r="P6" i="15"/>
  <c r="L44" i="15"/>
  <c r="K44" i="15"/>
  <c r="M33" i="15" a="1"/>
  <c r="M33" i="15" s="1"/>
  <c r="M22" i="15" a="1"/>
  <c r="M22" i="15" s="1"/>
  <c r="L22" i="15"/>
  <c r="K22" i="15"/>
  <c r="L55" i="15"/>
  <c r="K55" i="15"/>
  <c r="L66" i="15"/>
  <c r="K66" i="15"/>
  <c r="M69" i="11"/>
  <c r="G14" i="11"/>
  <c r="M47" i="11"/>
  <c r="M69" i="15" l="1"/>
  <c r="P7" i="15"/>
  <c r="G16" i="15"/>
  <c r="M58" i="15"/>
  <c r="M25" i="15"/>
  <c r="M47" i="15"/>
  <c r="G15" i="11"/>
  <c r="G17" i="15" l="1"/>
  <c r="P9" i="15" s="1"/>
  <c r="P8" i="15"/>
  <c r="G16" i="11"/>
  <c r="J13" i="15" l="1" a="1"/>
  <c r="J13" i="15" s="1"/>
  <c r="G17" i="11"/>
  <c r="P5" i="11"/>
  <c r="P8" i="11"/>
  <c r="J13" i="11" a="1"/>
  <c r="J13" i="11" s="1"/>
  <c r="P9" i="11"/>
  <c r="P4" i="11"/>
  <c r="P6" i="11"/>
  <c r="P7" i="11"/>
  <c r="K8" i="11"/>
  <c r="L8" i="1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<sst xmlns="http://schemas.openxmlformats.org/spreadsheetml/2006/main" count="1620" uniqueCount="553">
  <si>
    <t>Merch Item</t>
  </si>
  <si>
    <t>Target Cost</t>
  </si>
  <si>
    <t>Price</t>
  </si>
  <si>
    <t>Margin</t>
  </si>
  <si>
    <t>Quanity</t>
  </si>
  <si>
    <t>Total Cost</t>
  </si>
  <si>
    <t>Total Value</t>
  </si>
  <si>
    <t>Notes</t>
  </si>
  <si>
    <t>Pros</t>
  </si>
  <si>
    <t>Cons</t>
  </si>
  <si>
    <t>Next Level 6010</t>
  </si>
  <si>
    <t>1 color print</t>
  </si>
  <si>
    <t>Customer service</t>
  </si>
  <si>
    <t>Expensive</t>
  </si>
  <si>
    <t>Custom Tag Printing option for shirts</t>
  </si>
  <si>
    <t>LAA 1801GD</t>
  </si>
  <si>
    <t>5 color print</t>
  </si>
  <si>
    <t>Highest Quality</t>
  </si>
  <si>
    <t xml:space="preserve"> performance shirt selection</t>
  </si>
  <si>
    <t>Low MOQ</t>
  </si>
  <si>
    <t>Otto 18-711</t>
  </si>
  <si>
    <t>Front embroidry</t>
  </si>
  <si>
    <t>Shopify Integration</t>
  </si>
  <si>
    <t>3 manufactures</t>
  </si>
  <si>
    <t>Perfect Bottle</t>
  </si>
  <si>
    <t>Up to four colors</t>
  </si>
  <si>
    <t>Paying for storage</t>
  </si>
  <si>
    <t>Stickers</t>
  </si>
  <si>
    <t>Singles</t>
  </si>
  <si>
    <t>Staff Samples</t>
  </si>
  <si>
    <t>Total</t>
  </si>
  <si>
    <t>Profit</t>
  </si>
  <si>
    <t>Total Inv. Value</t>
  </si>
  <si>
    <t xml:space="preserve">Shipping   </t>
  </si>
  <si>
    <t>w/ samples</t>
  </si>
  <si>
    <t>Cost</t>
  </si>
  <si>
    <t>Profit w/ smpl</t>
  </si>
  <si>
    <t>Margin w/ s</t>
  </si>
  <si>
    <t>A A TR401</t>
  </si>
  <si>
    <t>High Quality</t>
  </si>
  <si>
    <t>Lower cotton T quality</t>
  </si>
  <si>
    <t>A A 2001</t>
  </si>
  <si>
    <t>2 color print</t>
  </si>
  <si>
    <t>Higher graphic budget</t>
  </si>
  <si>
    <t>Small performance shirt selection</t>
  </si>
  <si>
    <t>Cheaper cotton t</t>
  </si>
  <si>
    <t>Shopify Intagration</t>
  </si>
  <si>
    <t>Printify+ Blender Bottle + Stickermule</t>
  </si>
  <si>
    <t>Shopify Integrated</t>
  </si>
  <si>
    <t>Lower margin/Less profit</t>
  </si>
  <si>
    <t>Can be cheaper with subscription (I would recommend)</t>
  </si>
  <si>
    <t>Hanes 5180</t>
  </si>
  <si>
    <t>3 color print</t>
  </si>
  <si>
    <t>POD</t>
  </si>
  <si>
    <t>No bulk discounts</t>
  </si>
  <si>
    <t>These are starting costs, complex designs could be more expensive</t>
  </si>
  <si>
    <t>Yupoong 6245CM</t>
  </si>
  <si>
    <t>Little/no upfront cost</t>
  </si>
  <si>
    <t>Not made in USA</t>
  </si>
  <si>
    <t>Blender Bottle</t>
  </si>
  <si>
    <t>2 manufactures</t>
  </si>
  <si>
    <t>Less quality control</t>
  </si>
  <si>
    <t>Customer Service</t>
  </si>
  <si>
    <t>Performance T</t>
  </si>
  <si>
    <t>Name</t>
  </si>
  <si>
    <t>Price per 200</t>
  </si>
  <si>
    <t>Material</t>
  </si>
  <si>
    <t>Country of Origin</t>
  </si>
  <si>
    <t>Supplier</t>
  </si>
  <si>
    <t>Link</t>
  </si>
  <si>
    <t>Allmade AL2004</t>
  </si>
  <si>
    <t>50% polyester 25% cotton 25% Modal</t>
  </si>
  <si>
    <t>US matieral, Haiti</t>
  </si>
  <si>
    <t>Real Thread</t>
  </si>
  <si>
    <t>https://www.realthread.com/products/allmade-a2004t-unisex-tri-blend-crewneck-t-shirt?color=deep-black</t>
  </si>
  <si>
    <t>American Apparel TR401</t>
  </si>
  <si>
    <t>50% polyester 25% cotton 25% rayon</t>
  </si>
  <si>
    <t>USA</t>
  </si>
  <si>
    <t>Avalable on Printify</t>
  </si>
  <si>
    <t>https://www.realthread.com/products/american-apparel-tr401-tri-blend-short-sleeve-track-shirt?color=tri_oatmeal</t>
  </si>
  <si>
    <t>Next Level Apparel 6010</t>
  </si>
  <si>
    <t>50% Polyester  25% Cotton  25% Rayon</t>
  </si>
  <si>
    <t>Nicaragua</t>
  </si>
  <si>
    <t>https://www.realthread.com/products/next-level-apparel-6010-mens-tri-blend-crew?color=vintage-black</t>
  </si>
  <si>
    <t>Next Level Apparel 6210</t>
  </si>
  <si>
    <t>60% cotton and 40% polyester</t>
  </si>
  <si>
    <t>https://www.realthread.com/products/next-level-apparel-6210-premium-cvc-crew?color=sand</t>
  </si>
  <si>
    <t>Cotton T</t>
  </si>
  <si>
    <t>LA Apparel 1801GD</t>
  </si>
  <si>
    <t xml:space="preserve"> 100% cotton </t>
  </si>
  <si>
    <t>https://www.realthread.com/products/los-angeles-apparel-1801gd-ss-grmnt-dye-crew-neck-65oz?color=black</t>
  </si>
  <si>
    <t>Lane Seven LS16005</t>
  </si>
  <si>
    <t>Pakistan</t>
  </si>
  <si>
    <t>https://www.realthread.com/products/lane-seven-ls16005-heavy-pigment-tee?color=black</t>
  </si>
  <si>
    <t>Next Level Apparel 7200</t>
  </si>
  <si>
    <t>https://www.realthread.com/products/next-level-apparel-7200-heavyweight-t-shirt?color=graphite-black</t>
  </si>
  <si>
    <t>n/a</t>
  </si>
  <si>
    <t>https://www.realthread.com/products/hanes-5180-hanes-beefy-t-adult-short-sleeve-t-shirt?color=black</t>
  </si>
  <si>
    <t>Lane Seven LST002</t>
  </si>
  <si>
    <t>https://www.realthread.com/products/lane-seven-lst002-vintage-crewneck-tee?color=vintage-black</t>
  </si>
  <si>
    <t>American Apparel 2001</t>
  </si>
  <si>
    <t>https://www.realthread.com/products/american-apparel-2001-fine-jersey-short-sleeve-t-shirt?color=army</t>
  </si>
  <si>
    <t>Hat</t>
  </si>
  <si>
    <t>front embroidery</t>
  </si>
  <si>
    <t>Price per 150</t>
  </si>
  <si>
    <t>Country</t>
  </si>
  <si>
    <t>Otto Cap 19-3</t>
  </si>
  <si>
    <t xml:space="preserve"> 100% polyester</t>
  </si>
  <si>
    <t>https://www.realthread.com/products/otto-cap-19-3-low-profile-baseball-cap?color=black</t>
  </si>
  <si>
    <t>Otto Cap 18-711</t>
  </si>
  <si>
    <t>https://www.realthread.com/products/otto-cap-18-711-pigment-dyed-dad-hat?color=black</t>
  </si>
  <si>
    <t>Price &amp; Quantity</t>
  </si>
  <si>
    <t>Profit by month</t>
  </si>
  <si>
    <t>Month</t>
  </si>
  <si>
    <t>Blended T-shirt</t>
  </si>
  <si>
    <t>Month 1</t>
  </si>
  <si>
    <t>Cotton T-shirt</t>
  </si>
  <si>
    <t>Month 2</t>
  </si>
  <si>
    <t>Month 3</t>
  </si>
  <si>
    <t>Shaker Bottle</t>
  </si>
  <si>
    <t xml:space="preserve">Profit </t>
  </si>
  <si>
    <t>Month 4</t>
  </si>
  <si>
    <t>Month 5</t>
  </si>
  <si>
    <t>Month 6</t>
  </si>
  <si>
    <t>6-Month Forecast</t>
  </si>
  <si>
    <t>Web Traffic</t>
  </si>
  <si>
    <t>CVR</t>
  </si>
  <si>
    <t>Est Sales (units)</t>
  </si>
  <si>
    <t>AOV</t>
  </si>
  <si>
    <t>Est. Monthly Revenue</t>
  </si>
  <si>
    <t>Running Total</t>
  </si>
  <si>
    <t>Overall 6-month</t>
  </si>
  <si>
    <t>Safety Stock</t>
  </si>
  <si>
    <t>T-shirt Samples</t>
  </si>
  <si>
    <t>Break even</t>
  </si>
  <si>
    <t>6-month Profit</t>
  </si>
  <si>
    <t>6-month projection</t>
  </si>
  <si>
    <t>Order quantity by size</t>
  </si>
  <si>
    <t xml:space="preserve"> </t>
  </si>
  <si>
    <t>Monthly Avg</t>
  </si>
  <si>
    <t>Size</t>
  </si>
  <si>
    <t>Stock %</t>
  </si>
  <si>
    <t>Prfrmnce</t>
  </si>
  <si>
    <t>Cotton</t>
  </si>
  <si>
    <t>S</t>
  </si>
  <si>
    <t>M</t>
  </si>
  <si>
    <t>L</t>
  </si>
  <si>
    <t>XL</t>
  </si>
  <si>
    <t>XXL</t>
  </si>
  <si>
    <t>Performance T-shirt</t>
  </si>
  <si>
    <t>EOM Stock (units)</t>
  </si>
  <si>
    <t>TOTAL</t>
  </si>
  <si>
    <t>Performance:</t>
  </si>
  <si>
    <t>Cotton:</t>
  </si>
  <si>
    <t>M1</t>
  </si>
  <si>
    <t>M2</t>
  </si>
  <si>
    <t>M3</t>
  </si>
  <si>
    <t>M4</t>
  </si>
  <si>
    <t>M5</t>
  </si>
  <si>
    <t>M6</t>
  </si>
  <si>
    <t>units sold</t>
  </si>
  <si>
    <t>Remaining Stock</t>
  </si>
  <si>
    <t>Restock</t>
  </si>
  <si>
    <t>Units Sold</t>
  </si>
  <si>
    <t>Avg Monthly Sales</t>
  </si>
  <si>
    <t>Small</t>
  </si>
  <si>
    <t>Medium</t>
  </si>
  <si>
    <t>Large</t>
  </si>
  <si>
    <t>Threshold</t>
  </si>
  <si>
    <t>in stock</t>
  </si>
  <si>
    <t>Lead Time</t>
  </si>
  <si>
    <t>1 months</t>
  </si>
  <si>
    <t>1 month</t>
  </si>
  <si>
    <t>Hats</t>
  </si>
  <si>
    <t>Daily Sales</t>
  </si>
  <si>
    <t xml:space="preserve"> Sales</t>
  </si>
  <si>
    <t>Revenue</t>
  </si>
  <si>
    <t>January</t>
  </si>
  <si>
    <t>Column1</t>
  </si>
  <si>
    <t>Column2</t>
  </si>
  <si>
    <t>February</t>
  </si>
  <si>
    <t>1.5 month</t>
  </si>
  <si>
    <t>March</t>
  </si>
  <si>
    <t>April</t>
  </si>
  <si>
    <t>May</t>
  </si>
  <si>
    <t>June</t>
  </si>
  <si>
    <t>EOM STOCK</t>
  </si>
  <si>
    <t>.5 month</t>
  </si>
  <si>
    <t>Brand</t>
  </si>
  <si>
    <t>Product</t>
  </si>
  <si>
    <t>Estimated Shipping</t>
  </si>
  <si>
    <t>Review</t>
  </si>
  <si>
    <t>Number of Reviews</t>
  </si>
  <si>
    <t>Color Options</t>
  </si>
  <si>
    <t>Best Sellers</t>
  </si>
  <si>
    <t>Print Method</t>
  </si>
  <si>
    <t>Sizes</t>
  </si>
  <si>
    <t>Complaint/Praise</t>
  </si>
  <si>
    <t>Is it cool?</t>
  </si>
  <si>
    <t>DTC vs POD</t>
  </si>
  <si>
    <t>Blanks Used</t>
  </si>
  <si>
    <t>Manufacturer</t>
  </si>
  <si>
    <t>Delivery Time</t>
  </si>
  <si>
    <t>COO</t>
  </si>
  <si>
    <t>Bucked Up</t>
  </si>
  <si>
    <t>T-shirts</t>
  </si>
  <si>
    <t>Flag Shirt</t>
  </si>
  <si>
    <t>$4.99-7.99 + $0.98 fee</t>
  </si>
  <si>
    <t>50% cotton, 45% polyester, 5% spandex</t>
  </si>
  <si>
    <t>•Red T w/ black logo
•Black T w/ blue logo
•Heather Blue T w/ white logo</t>
  </si>
  <si>
    <t>DTF</t>
  </si>
  <si>
    <t>Small – 3XL</t>
  </si>
  <si>
    <t>https://www.buckedup.com/shop/apparel/flag-t-shirt</t>
  </si>
  <si>
    <t>Primarily menswear</t>
  </si>
  <si>
    <t>No</t>
  </si>
  <si>
    <t>DTC</t>
  </si>
  <si>
    <t>Drop Shoulder Oversized T-Shirt</t>
  </si>
  <si>
    <t xml:space="preserve">65% Cotton : 35% Polyester </t>
  </si>
  <si>
    <t>Gray w/ Gray logo</t>
  </si>
  <si>
    <t>screen printing</t>
  </si>
  <si>
    <t>Small - 2XL</t>
  </si>
  <si>
    <t>https://www.buckedup.com/shop/apparel/Drop-Shoulder-Oversized-T-Shirt</t>
  </si>
  <si>
    <t>Retro T-shirt</t>
  </si>
  <si>
    <t>100% Cotton</t>
  </si>
  <si>
    <t>5 designs</t>
  </si>
  <si>
    <t>Rocket Pop</t>
  </si>
  <si>
    <t>https://www.buckedup.com/men/retro-t-shirt</t>
  </si>
  <si>
    <t>Fun design appeals to a broader audience + oversized fit</t>
  </si>
  <si>
    <t>"My new favorite t shirt!"</t>
  </si>
  <si>
    <t>Could Be</t>
  </si>
  <si>
    <t>Boot Camp T-Shirt</t>
  </si>
  <si>
    <t>60% Cotton, 40% Polyester</t>
  </si>
  <si>
    <t>https://www.buckedup.com/apparel/boot-camp-t-shirt</t>
  </si>
  <si>
    <t>The shirt does not look comfortable</t>
  </si>
  <si>
    <t>Absolutlely not</t>
  </si>
  <si>
    <t>BU Graphic T-shirt</t>
  </si>
  <si>
    <t>https://www.buckedup.com/apparel/BU-Graphic-T-Shirt</t>
  </si>
  <si>
    <t xml:space="preserve">Fun design appeals to a broader audience </t>
  </si>
  <si>
    <t>"So lit"</t>
  </si>
  <si>
    <t>Unoriginal but yes</t>
  </si>
  <si>
    <t>One More Set T-shirt</t>
  </si>
  <si>
    <t>SP or DTF</t>
  </si>
  <si>
    <t>https://www.buckedup.com/apparel/one-more-set-t-shirt</t>
  </si>
  <si>
    <t>Earth Tones</t>
  </si>
  <si>
    <t>"The mocha is such a good color"</t>
  </si>
  <si>
    <t>Yes</t>
  </si>
  <si>
    <t>BPN</t>
  </si>
  <si>
    <t>Varsity Tee Black OG</t>
  </si>
  <si>
    <t>https://www.bareperformancenutrition.com/products/varsity-tee-black?variant=32097962885200</t>
  </si>
  <si>
    <t>Excelent review system</t>
  </si>
  <si>
    <t>Clean look, versitility, runs a little small</t>
  </si>
  <si>
    <t xml:space="preserve">American Apparel </t>
  </si>
  <si>
    <t>Go One More Tee</t>
  </si>
  <si>
    <t>https://www.bareperformancenutrition.com/products/go-one-more-tee-white</t>
  </si>
  <si>
    <t>Product photos show someone who made the shirt a cutoff</t>
  </si>
  <si>
    <t>Complaints about durability and quality</t>
  </si>
  <si>
    <t>Classic BPN Tee (Black/Navy)</t>
  </si>
  <si>
    <t>215/192</t>
  </si>
  <si>
    <t>We Fuel Performance Tee</t>
  </si>
  <si>
    <t xml:space="preserve">100% Cotton </t>
  </si>
  <si>
    <t>https://www.bareperformancenutrition.com/products/we-fuel-performance-tee</t>
  </si>
  <si>
    <t>Repersents Austin, TX by putting ATX on the shirt</t>
  </si>
  <si>
    <t>Great fit</t>
  </si>
  <si>
    <t>Maybe</t>
  </si>
  <si>
    <t>Comfort Colors Cotton</t>
  </si>
  <si>
    <t>Set the Standard Tee</t>
  </si>
  <si>
    <t>SP or DTG</t>
  </si>
  <si>
    <t>https://www.bareperformancenutrition.com/products/set-the-standard-tee</t>
  </si>
  <si>
    <t>Sizing issues</t>
  </si>
  <si>
    <t>Stay Hybrid</t>
  </si>
  <si>
    <t>https://www.bareperformancenutrition.com/products/stay-hybrid-tee-1</t>
  </si>
  <si>
    <t>Mean dog</t>
  </si>
  <si>
    <t>Love the quality</t>
  </si>
  <si>
    <t>If It Matters To You Tee</t>
  </si>
  <si>
    <t>https://www.bareperformancenutrition.com/products/if-it-matters-to-you-tee?variant=42898870370476</t>
  </si>
  <si>
    <t>Quote from the CEO</t>
  </si>
  <si>
    <t>Stay In The Fight Tee</t>
  </si>
  <si>
    <t>https://www.bareperformancenutrition.com/products/stay-in-the-fight-tee?variant=42398475845804</t>
  </si>
  <si>
    <t>Completely unrelated graphic</t>
  </si>
  <si>
    <t>Not great quality/wears down quickly</t>
  </si>
  <si>
    <t>Adventure Tee</t>
  </si>
  <si>
    <t>https://www.bareperformancenutrition.com/products/adventure-tee</t>
  </si>
  <si>
    <t>Unrelated mountian graphic</t>
  </si>
  <si>
    <t>Tight around the collar</t>
  </si>
  <si>
    <t>Trucker Tee</t>
  </si>
  <si>
    <t>https://www.bareperformancenutrition.com/products/trucker-tee</t>
  </si>
  <si>
    <t>Deep In The Heart</t>
  </si>
  <si>
    <t>https://www.bareperformancenutrition.com/products/deep-in-the-heart-of-texas-tee</t>
  </si>
  <si>
    <t>Endure The Process Tee</t>
  </si>
  <si>
    <t>https://www.bareperformancenutrition.com/products/endure-the-process-tee</t>
  </si>
  <si>
    <t xml:space="preserve">Repersents Austin, TX </t>
  </si>
  <si>
    <t>Cellucor</t>
  </si>
  <si>
    <t>(free after signing up for emails)</t>
  </si>
  <si>
    <t>(Only Men's T's)</t>
  </si>
  <si>
    <t>C4® X Wounded Warrior Project® T-Shirt</t>
  </si>
  <si>
    <t>best seller on site</t>
  </si>
  <si>
    <t>https://cellucor.com/products/c4-energy-wounded-warrior-t-shirt</t>
  </si>
  <si>
    <t>C4 tag : primarily marketed for men</t>
  </si>
  <si>
    <t>Runs small</t>
  </si>
  <si>
    <t>Cellucor Tee</t>
  </si>
  <si>
    <t>black</t>
  </si>
  <si>
    <t>https://cellucor.com/products/mens-cellucor-tee</t>
  </si>
  <si>
    <t>Sure</t>
  </si>
  <si>
    <t>C4® Chest Tee</t>
  </si>
  <si>
    <t>Heather Charcoal</t>
  </si>
  <si>
    <t>https://cellucor.com/products/mens-c4-chest-tee-1?variant=39523732389950</t>
  </si>
  <si>
    <t>Nice and simple</t>
  </si>
  <si>
    <t xml:space="preserve"> Ignite Your Fire Tee</t>
  </si>
  <si>
    <t>55% Cotton, 37% Modal, 8% Spandex</t>
  </si>
  <si>
    <t>yes sold out</t>
  </si>
  <si>
    <t>https://cellucor.com/products/mens-c4-energy-iyf-tee</t>
  </si>
  <si>
    <t>C4 tag : primarily marketed for men : Sold out</t>
  </si>
  <si>
    <t>Nice</t>
  </si>
  <si>
    <t>Ethika</t>
  </si>
  <si>
    <t>Raw</t>
  </si>
  <si>
    <t>Credits T-shirt</t>
  </si>
  <si>
    <t>shp incl.</t>
  </si>
  <si>
    <t>not listed. 100% cotton?</t>
  </si>
  <si>
    <t>Small - 3XL</t>
  </si>
  <si>
    <t>https://getrawnutrition.com/products/credits-t-shirt</t>
  </si>
  <si>
    <t>Orgin T-shirt</t>
  </si>
  <si>
    <t>https://getrawnutrition.com/products/origin-tee</t>
  </si>
  <si>
    <t>Genuine T-shirt</t>
  </si>
  <si>
    <t>https://getrawnutrition.com/products/genuine-tee</t>
  </si>
  <si>
    <t>Essential FTGU T-shirt</t>
  </si>
  <si>
    <t>https://getrawnutrition.com/products/essential-ftgu-t-shirt</t>
  </si>
  <si>
    <t>Model is wearing a cropped T</t>
  </si>
  <si>
    <t>Prime T-shirt</t>
  </si>
  <si>
    <t>https://getrawnutrition.com/products/prime-t-shirt</t>
  </si>
  <si>
    <t>Jocko Fuel</t>
  </si>
  <si>
    <t>Jocko Fuel T Shirt</t>
  </si>
  <si>
    <t>50% cotton, 50% polyester</t>
  </si>
  <si>
    <t>https://jockofuel.com/products/jocko-fuel-original-t-shirt?variant=47571179667751</t>
  </si>
  <si>
    <t>Sold out</t>
  </si>
  <si>
    <t>Runs small : Should have a XXL</t>
  </si>
  <si>
    <t>Orgin</t>
  </si>
  <si>
    <t>Kaged</t>
  </si>
  <si>
    <t>Kaged Logo T shirt</t>
  </si>
  <si>
    <t>Gray and Black</t>
  </si>
  <si>
    <t>https://www.kaged.com/collections/accessories-and-apparels/products/kaged-logo-t-shirt?variant=39653557108801</t>
  </si>
  <si>
    <t>Kaged tag</t>
  </si>
  <si>
    <t>Shrunk after one wash</t>
  </si>
  <si>
    <t>URNL?</t>
  </si>
  <si>
    <t>NSE Tee</t>
  </si>
  <si>
    <t>not listed. 60% cotton, 40% Polyester</t>
  </si>
  <si>
    <t>yes almost sold out</t>
  </si>
  <si>
    <t>https://www.kaged.com/collections/accessories-and-apparels/products/comfort-colors-1717-tee-black-stripes?variant=41708163268673</t>
  </si>
  <si>
    <t>Comfort Colors</t>
  </si>
  <si>
    <t>Legacy Tee</t>
  </si>
  <si>
    <t>https://www.kaged.com/collections/accessories-and-apparels/products/comfort-colors-1717-tee-black-2015?variant=41708164186177</t>
  </si>
  <si>
    <t>Fuel Tee</t>
  </si>
  <si>
    <t>https://www.kaged.com/collections/accessories-and-apparels/products/fuel-tee?variant=41858386526273</t>
  </si>
  <si>
    <t>DNA Tee</t>
  </si>
  <si>
    <t>https://www.kaged.com/collections/accessories-and-apparels/products/dna-tee?variant=41858344910913</t>
  </si>
  <si>
    <t>Circle Tee</t>
  </si>
  <si>
    <t>https://www.kaged.com/collections/accessories-and-apparels/products/circle-tee?variant=41858404089921</t>
  </si>
  <si>
    <t>Kaged x UNRL® Stride Short Sleeve</t>
  </si>
  <si>
    <t>Large and 2XL</t>
  </si>
  <si>
    <t>https://www.kaged.com/collections/accessories-and-apparels/products/kaged-x-unrl-stride-short-sleeve?variant=41749436301377</t>
  </si>
  <si>
    <t>UNRL Tag</t>
  </si>
  <si>
    <t>URNL</t>
  </si>
  <si>
    <t>Promix</t>
  </si>
  <si>
    <t>Promix x 1% for the Earth</t>
  </si>
  <si>
    <t>100% cotton</t>
  </si>
  <si>
    <t>Small - XL</t>
  </si>
  <si>
    <t>https://promixnutrition.com/collections/nutritional-supplements</t>
  </si>
  <si>
    <t>Gildan tearaway</t>
  </si>
  <si>
    <t>Promix x Kelly Matthews</t>
  </si>
  <si>
    <t>100% ring spun cotton</t>
  </si>
  <si>
    <t>https://promixnutrition.com/products/promix-x-kelly-matthews</t>
  </si>
  <si>
    <t>Comfort Colors 6.1oz Cotton</t>
  </si>
  <si>
    <t>Ryse</t>
  </si>
  <si>
    <t>Ryse the F Up Tee</t>
  </si>
  <si>
    <t>https://rysesupps.com/products/ryse-the-f-k-up-tee</t>
  </si>
  <si>
    <t>Ryse tag</t>
  </si>
  <si>
    <t>Ryse Script Tee</t>
  </si>
  <si>
    <t>https://rysesupps.com/products/t-shirt-script-tee</t>
  </si>
  <si>
    <t>Ryse Above Tee</t>
  </si>
  <si>
    <t>https://rysesupps.com/products/ryse-above-tee</t>
  </si>
  <si>
    <t>Shipping</t>
  </si>
  <si>
    <t>Style</t>
  </si>
  <si>
    <t>Closure</t>
  </si>
  <si>
    <t>Reviews</t>
  </si>
  <si>
    <t>Num of Review</t>
  </si>
  <si>
    <t>Is it Cool?</t>
  </si>
  <si>
    <t xml:space="preserve"> Link directs to one color as the other colors are under separate links </t>
  </si>
  <si>
    <t>(40+ SKUs)</t>
  </si>
  <si>
    <t>Richardson Trucker Hat</t>
  </si>
  <si>
    <t>Mesh Trucker</t>
  </si>
  <si>
    <t>snapback</t>
  </si>
  <si>
    <t>100% polyester</t>
  </si>
  <si>
    <t>https://www.buckedup.com/hats/richardson-hat-white</t>
  </si>
  <si>
    <t>Richardson</t>
  </si>
  <si>
    <t>Bangladesh</t>
  </si>
  <si>
    <t>Richardson Trucker Hat - Camo/Orange</t>
  </si>
  <si>
    <t>https://www.buckedup.com/hats/Richardson-Trucker-Light-Camo-Black-Hat-White-Black-Logo</t>
  </si>
  <si>
    <t>Better</t>
  </si>
  <si>
    <t>Swirl Foam Trucker</t>
  </si>
  <si>
    <t>Foam Trucker</t>
  </si>
  <si>
    <t>https://www.buckedup.com/hats/Swirl-Foam-All-White-Hat-Light-Blue-Logo</t>
  </si>
  <si>
    <t>OTTO</t>
  </si>
  <si>
    <t>China</t>
  </si>
  <si>
    <t>5-Panel Baseball Hat</t>
  </si>
  <si>
    <t>Baseball</t>
  </si>
  <si>
    <t>Cotton?</t>
  </si>
  <si>
    <t>https://www.buckedup.com/hats/5-Panel-Baseball-Hat-White-Black-Brim-Black-Embroidered-Logo</t>
  </si>
  <si>
    <t>Freedom Trucker</t>
  </si>
  <si>
    <t>Trucker Mesh</t>
  </si>
  <si>
    <t>https://www.buckedup.com/shop/hats/freedom-trucker-Green-Camo-Black-Mesh-Flag-Logo</t>
  </si>
  <si>
    <t>Reflective Trucker</t>
  </si>
  <si>
    <t>https://www.buckedup.com/shop/hats/reflective-trucker-hat</t>
  </si>
  <si>
    <t>Lifestyle Trucker</t>
  </si>
  <si>
    <t>https://www.buckedup.com/shop/hats/lifestyle-trucker-hat</t>
  </si>
  <si>
    <t>Waterproof Golf Hat</t>
  </si>
  <si>
    <t>Golf</t>
  </si>
  <si>
    <t>https://www.buckedup.com/shop/hats/Waterproof-Golf-Off-White-Hat-White-Buck-Logo</t>
  </si>
  <si>
    <t>Waterproof Rubber Logo Golf Hat</t>
  </si>
  <si>
    <t>https://www.buckedup.com/shop/hats/Waterproof-Golf-Black-Hat-Black-Rubberized-Logo</t>
  </si>
  <si>
    <t>Established 7-Panel Trucker</t>
  </si>
  <si>
    <t>7 panel trucker</t>
  </si>
  <si>
    <t>88% Nylon 12% Elastane</t>
  </si>
  <si>
    <t>https://www.buckedup.com/shop/hats/established-7-Panel-trucker-hat</t>
  </si>
  <si>
    <t>Premium Waterproof Flat-Brim</t>
  </si>
  <si>
    <t>https://www.buckedup.com/shop/hats/Premium-Waterproof-Hat-Flat-Brim</t>
  </si>
  <si>
    <t>Premium Waterproof Curved Brim</t>
  </si>
  <si>
    <t>https://www.buckedup.com/shop/hats/Premium-Waterproof-Teal-Camo-Curved-Hat-Teal-Black-Logo</t>
  </si>
  <si>
    <t>Snapback Hat USA Navy</t>
  </si>
  <si>
    <t>https://www.bareperformancenutrition.com/products/snapback-hat-usa-navy</t>
  </si>
  <si>
    <t>"Could be softer"</t>
  </si>
  <si>
    <t>Enduerance Hat Go One More</t>
  </si>
  <si>
    <t>Runner</t>
  </si>
  <si>
    <t>velcro</t>
  </si>
  <si>
    <t>https://www.bareperformancenutrition.com/products/go-one-more-endurance-hat</t>
  </si>
  <si>
    <t>boco gear</t>
  </si>
  <si>
    <t>Enduerance Hat</t>
  </si>
  <si>
    <t>100% polyester?</t>
  </si>
  <si>
    <t>https://www.bareperformancenutrition.com/products/endurance-hat-bpn</t>
  </si>
  <si>
    <t xml:space="preserve"> Complaints about staining and fitting too small</t>
  </si>
  <si>
    <t>Snapback Hat Black + Camo</t>
  </si>
  <si>
    <t>https://www.bareperformancenutrition.com/products/bpn-black-camo-snapback-hat</t>
  </si>
  <si>
    <t>clip</t>
  </si>
  <si>
    <t>Blend?</t>
  </si>
  <si>
    <t xml:space="preserve"> Poor quality i.e. print falls off quickly</t>
  </si>
  <si>
    <t>BPN x CIELE™ Endurance Cap</t>
  </si>
  <si>
    <t>100% Recycled polyester</t>
  </si>
  <si>
    <t>https://www.bareperformancenutrition.com/products/bpn-x-ciele-endurance-cap</t>
  </si>
  <si>
    <t>RAW</t>
  </si>
  <si>
    <t>Gilded Hat</t>
  </si>
  <si>
    <t>incl.</t>
  </si>
  <si>
    <t>https://getrawnutrition.com/products/gilded-hat</t>
  </si>
  <si>
    <t>Midnight Hat</t>
  </si>
  <si>
    <t>https://getrawnutrition.com/products/midnight-hat</t>
  </si>
  <si>
    <t>Endurance Performance</t>
  </si>
  <si>
    <t>runner</t>
  </si>
  <si>
    <t>Various</t>
  </si>
  <si>
    <t>https://getrawnutrition.com/products/hat</t>
  </si>
  <si>
    <t>Jocko Fuel Hat</t>
  </si>
  <si>
    <t>mesh back</t>
  </si>
  <si>
    <t>100% PCT7 Cotton Twill</t>
  </si>
  <si>
    <t>https://jockofuel.com/products/jocko-fuel-logo-hat</t>
  </si>
  <si>
    <t>Kaged Logo Snapback</t>
  </si>
  <si>
    <t>Flatbill</t>
  </si>
  <si>
    <t>83% Acrylic 15% Wool  2% PU Spandex</t>
  </si>
  <si>
    <t>https://www.kaged.com/collections/accessories-and-apparels/products/kaged-logo-snapback-hat?variant=40299819139137</t>
  </si>
  <si>
    <t>no</t>
  </si>
  <si>
    <t>Kaged Logo Dad Hat</t>
  </si>
  <si>
    <t>Dad</t>
  </si>
  <si>
    <t>belt</t>
  </si>
  <si>
    <t>https://www.kaged.com/collections/accessories-and-apparels/products/kaged-logo-dad-hat?variant=40299813994561</t>
  </si>
  <si>
    <t>yes</t>
  </si>
  <si>
    <t>Kaged Logo Trucker Hat</t>
  </si>
  <si>
    <t>65% Polyester 35% Cotton</t>
  </si>
  <si>
    <t>https://www.kaged.com/collections/accessories-and-apparels/products/kaged-logo-trucker-hat?variant=40299818156097</t>
  </si>
  <si>
    <t>The Dad Hat</t>
  </si>
  <si>
    <t>https://promixnutrition.com/products/the-dad-hat</t>
  </si>
  <si>
    <t xml:space="preserve"> 100+ sold in the last month</t>
  </si>
  <si>
    <t>Flexfit</t>
  </si>
  <si>
    <t>Color Op</t>
  </si>
  <si>
    <t>Best Seller</t>
  </si>
  <si>
    <t>Shaker</t>
  </si>
  <si>
    <t>Perfect Shaker 28 oz</t>
  </si>
  <si>
    <t>Black/white, black/gray, red/white, pink</t>
  </si>
  <si>
    <t>https://www.buckedup.com/shop/shakers-and-bottles/perfect-shaker</t>
  </si>
  <si>
    <t xml:space="preserve"> Perfect Shaker</t>
  </si>
  <si>
    <t>Babe Shaker 28 oz</t>
  </si>
  <si>
    <t>https://www.buckedup.com/shop/shakers-and-bottles/babe-shaker</t>
  </si>
  <si>
    <t>Ocean Shaker 28 oz</t>
  </si>
  <si>
    <t>White</t>
  </si>
  <si>
    <t>https://www.buckedup.com/shop/shakers-and-bottles/ocean-shaker</t>
  </si>
  <si>
    <t>BYO Perfect Shaker 7/28 oz</t>
  </si>
  <si>
    <t>Black/white, black/gray, blue/white, red/white, green/black</t>
  </si>
  <si>
    <t>https://www.buckedup.com/shop/shakers-and-bottles/bulk-shaker-supply</t>
  </si>
  <si>
    <t>Shaker OG 28 oz</t>
  </si>
  <si>
    <t>https://www.bareperformancenutrition.com/products/bpn-shaker-bottle</t>
  </si>
  <si>
    <t xml:space="preserve">Blender Bottle </t>
  </si>
  <si>
    <t>Poor quality : Leaky : Cracks</t>
  </si>
  <si>
    <t>One More Go 28 oz</t>
  </si>
  <si>
    <t>https://www.bareperformancenutrition.com/products/go-one-more-shaker-bottle-28oz</t>
  </si>
  <si>
    <t>Red 28 oz</t>
  </si>
  <si>
    <t>https://www.bareperformancenutrition.com/products/shaker-bottle-red-28oz-1</t>
  </si>
  <si>
    <t>(free after signing up)</t>
  </si>
  <si>
    <t>Cellucor 28 oz</t>
  </si>
  <si>
    <t>https://cellucor.com/products/cellucor-shaker?_pos=4&amp;_sid=99d408fbd&amp;_ss=r</t>
  </si>
  <si>
    <t>BlenderBottle</t>
  </si>
  <si>
    <t>Yellow C4 28 oz</t>
  </si>
  <si>
    <t>https://cellucor.com/products/yellow-black-c4-28oz-blender-bottle?_pos=19&amp;_sid=99d408fbd&amp;_ss=r</t>
  </si>
  <si>
    <t>XTEND 28 oz</t>
  </si>
  <si>
    <t>https://cellucor.com/products/xtend-28oz-blender-bottle?_pos=20&amp;_sid=99d408fbd&amp;_ss=r</t>
  </si>
  <si>
    <t>Wounded Warrior Project® Shaker</t>
  </si>
  <si>
    <t>https://cellucor.com/products/wounded-warrior-project-shaker</t>
  </si>
  <si>
    <t>SmartShaker</t>
  </si>
  <si>
    <t>XTEND Smartshake 33 oz</t>
  </si>
  <si>
    <t>https://cellucor.com/products/xtend-smartshake-33oz-shaker?_pos=1&amp;_sid=99d408fbd&amp;_ss=r</t>
  </si>
  <si>
    <t xml:space="preserve"> SmartShaker</t>
  </si>
  <si>
    <t>Conquer Shaker Bottle</t>
  </si>
  <si>
    <t>incl</t>
  </si>
  <si>
    <t>https://getrawnutrition.com/products/conquer-shaker-bottle?variant=51657779020094</t>
  </si>
  <si>
    <t xml:space="preserve">SportShaker  </t>
  </si>
  <si>
    <t>Jocko Fuel Shaker Cup 20 oz</t>
  </si>
  <si>
    <t>https://jockofuel.com/products/jocko-fuel-shaker-cup</t>
  </si>
  <si>
    <t>Blender Bottle Classic</t>
  </si>
  <si>
    <t>https://www.kaged.com/collections/accessories-and-apparels/products/blender-bottle-classic?variant=15293237379</t>
  </si>
  <si>
    <t xml:space="preserve">BlenderBottle </t>
  </si>
  <si>
    <t>Elite Strada Shaker Bottle</t>
  </si>
  <si>
    <t>https://www.kaged.com/collections/accessories-and-apparels/products/stainless-steel-shaker?variant=39653519065153</t>
  </si>
  <si>
    <t>Some reports of poor mixing i.e. powder sticking to cup walls. Probably user error</t>
  </si>
  <si>
    <t>Shaker of the Month - Cranberry</t>
  </si>
  <si>
    <t>https://www.kaged.com/collections/accessories-and-apparels/products/shaker-of-the-month-cranberry?variant=41891784392769</t>
  </si>
  <si>
    <t>Shaker of the Month - Mint</t>
  </si>
  <si>
    <t>https://www.kaged.com/collections/accessories-and-apparels/products/shaker-of-the-month-mint?variant=41858415493185</t>
  </si>
  <si>
    <t>Three Buck</t>
  </si>
  <si>
    <t>red on black</t>
  </si>
  <si>
    <t>https://www.buckedup.com/fun-stuff/bucked-up-reg-sticker</t>
  </si>
  <si>
    <t>Flag</t>
  </si>
  <si>
    <t>black/red</t>
  </si>
  <si>
    <t>#getbuckedup</t>
  </si>
  <si>
    <t>black/white</t>
  </si>
  <si>
    <t>Buck sticker</t>
  </si>
  <si>
    <t>Long BU sticker</t>
  </si>
  <si>
    <t>BPN Varsity Logo</t>
  </si>
  <si>
    <t>https://www.bareperformancenutrition.com/products/car-decals?variant=42227801260204</t>
  </si>
  <si>
    <t>4" x 4"</t>
  </si>
  <si>
    <t>Go One More Logo</t>
  </si>
  <si>
    <t>https://www.bareperformancenutrition.com/products/car-decals?variant=43293815472300</t>
  </si>
  <si>
    <t>8.5" x 1"</t>
  </si>
  <si>
    <t>Alphabomb Sticker</t>
  </si>
  <si>
    <t>https://cellucor.com/products/alphabomb-sticker?srsltid=AfmBOopG-EauyqfOp3CN1xpsPYQKZrSVv5SeIu4HPGFydGBotRqr9vwX</t>
  </si>
  <si>
    <t>Cropped T-shirt</t>
  </si>
  <si>
    <t>Long Sleeve T-shirt</t>
  </si>
  <si>
    <t>Trucker Hat</t>
  </si>
  <si>
    <t>Toiletry Bag</t>
  </si>
  <si>
    <t>Tote Bag</t>
  </si>
  <si>
    <t xml:space="preserve">these tables are not 100% accurate but give a general idea sales by size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</si>
</sst>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&quot;$&quot;#,##0.00"/>
  </numFmts>
  <fonts count="26">
    <font>
      <sz val="11"/>
      <color theme="1"/>
      <name val="Aptos Narrow"/>
      <family val="2"/>
      <scheme val="minor"/>
    </font>
    <font>
      <sz val="13"/>
      <color theme="1"/>
      <name val="Aptos"/>
      <family val="2"/>
    </font>
    <font>
      <sz val="8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1"/>
      <color rgb="FF9C57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0"/>
      <name val="Aptos Narrow"/>
      <family val="2"/>
      <scheme val="minor"/>
    </font>
    <font>
      <b/>
      <sz val="12"/>
      <color theme="0"/>
      <name val="Segoe UI Variable Small Semibol"/>
    </font>
    <font>
      <b/>
      <sz val="10"/>
      <color theme="0"/>
      <name val="Segoe UI Variable Small Semibol"/>
    </font>
    <font>
      <b/>
      <sz val="11"/>
      <color theme="0"/>
      <name val="Segoe UI Variable Small Semibol"/>
    </font>
    <font>
      <b/>
      <sz val="14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8"/>
      <name val="Aptos Narrow"/>
      <family val="2"/>
      <scheme val="minor"/>
    </font>
    <font>
      <sz val="12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sz val="14"/>
      <color rgb="FF006100"/>
      <name val="Aptos Narrow"/>
      <family val="2"/>
      <scheme val="minor"/>
    </font>
    <font>
      <b/>
      <sz val="14"/>
      <color rgb="FF9C0006"/>
      <name val="Aptos Narrow"/>
      <family val="2"/>
      <scheme val="minor"/>
    </font>
    <font>
      <b/>
      <sz val="14"/>
      <color rgb="FF9C5700"/>
      <name val="Aptos Narrow"/>
      <family val="2"/>
      <scheme val="minor"/>
    </font>
    <font>
      <b/>
      <sz val="13"/>
      <color theme="1"/>
      <name val="Aptos Narrow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6"/>
        <bgColor theme="6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5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/>
      <top/>
      <bottom style="medium">
        <color theme="1"/>
      </bottom>
      <diagonal/>
    </border>
  </borders>
  <cellStyleXfs count="15">
    <xf numFmtId="0" fontId="0" fillId="0" borderId="0"/>
    <xf numFmtId="0" fontId="3" fillId="0" borderId="0" applyNumberFormat="0" applyFill="0" applyBorder="0" applyAlignment="0" applyProtection="0"/>
    <xf numFmtId="0" fontId="4" fillId="4" borderId="0" applyNumberFormat="0" applyBorder="0" applyAlignment="0" applyProtection="0"/>
    <xf numFmtId="0" fontId="7" fillId="5" borderId="0" applyNumberFormat="0" applyBorder="0" applyAlignment="0" applyProtection="0"/>
    <xf numFmtId="0" fontId="18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17" fillId="20" borderId="0" applyNumberFormat="0" applyBorder="0" applyAlignment="0" applyProtection="0"/>
  </cellStyleXfs>
  <cellXfs count="107">
    <xf numFmtId="0" fontId="0" fillId="0" borderId="0" xfId="0"/>
    <xf numFmtId="0" fontId="0" fillId="3" borderId="0" xfId="0" applyFill="1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1" applyAlignment="1">
      <alignment vertical="center"/>
    </xf>
    <xf numFmtId="8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3" fillId="0" borderId="0" xfId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16" fontId="0" fillId="0" borderId="0" xfId="0" applyNumberFormat="1" applyAlignment="1">
      <alignment horizontal="center" vertical="center"/>
    </xf>
    <xf numFmtId="0" fontId="0" fillId="0" borderId="0" xfId="0" applyAlignment="1">
      <alignment horizontal="left"/>
    </xf>
    <xf numFmtId="8" fontId="2" fillId="0" borderId="0" xfId="0" applyNumberFormat="1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3" borderId="0" xfId="0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3" fillId="0" borderId="0" xfId="1" applyAlignment="1">
      <alignment horizontal="left"/>
    </xf>
    <xf numFmtId="0" fontId="4" fillId="4" borderId="0" xfId="2"/>
    <xf numFmtId="0" fontId="4" fillId="4" borderId="0" xfId="2" applyAlignment="1">
      <alignment horizontal="center" vertical="center"/>
    </xf>
    <xf numFmtId="0" fontId="7" fillId="5" borderId="0" xfId="3"/>
    <xf numFmtId="0" fontId="10" fillId="2" borderId="2" xfId="0" applyFont="1" applyFill="1" applyBorder="1" applyAlignment="1">
      <alignment horizontal="center" vertical="center"/>
    </xf>
    <xf numFmtId="0" fontId="11" fillId="8" borderId="2" xfId="0" applyFont="1" applyFill="1" applyBorder="1" applyAlignment="1">
      <alignment horizontal="center" vertical="center"/>
    </xf>
    <xf numFmtId="0" fontId="12" fillId="8" borderId="2" xfId="0" applyFont="1" applyFill="1" applyBorder="1" applyAlignment="1">
      <alignment horizontal="left" vertical="center"/>
    </xf>
    <xf numFmtId="0" fontId="13" fillId="8" borderId="2" xfId="0" applyFont="1" applyFill="1" applyBorder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7" borderId="0" xfId="0" applyFont="1" applyFill="1" applyAlignment="1">
      <alignment horizontal="center" vertical="center"/>
    </xf>
    <xf numFmtId="8" fontId="0" fillId="7" borderId="0" xfId="0" applyNumberFormat="1" applyFill="1" applyAlignment="1">
      <alignment horizontal="center" vertical="center"/>
    </xf>
    <xf numFmtId="0" fontId="3" fillId="7" borderId="0" xfId="1" applyFill="1" applyAlignment="1">
      <alignment horizontal="left" vertical="center"/>
    </xf>
    <xf numFmtId="0" fontId="2" fillId="7" borderId="0" xfId="0" applyFont="1" applyFill="1" applyAlignment="1">
      <alignment horizontal="left" vertical="center"/>
    </xf>
    <xf numFmtId="0" fontId="0" fillId="7" borderId="0" xfId="0" applyFill="1" applyAlignment="1">
      <alignment horizontal="left" vertical="center"/>
    </xf>
    <xf numFmtId="0" fontId="0" fillId="7" borderId="0" xfId="0" applyFill="1"/>
    <xf numFmtId="0" fontId="3" fillId="0" borderId="0" xfId="1"/>
    <xf numFmtId="0" fontId="3" fillId="7" borderId="0" xfId="1" applyFill="1"/>
    <xf numFmtId="0" fontId="5" fillId="7" borderId="0" xfId="0" applyFont="1" applyFill="1" applyAlignment="1">
      <alignment horizontal="center" vertical="center"/>
    </xf>
    <xf numFmtId="0" fontId="8" fillId="9" borderId="3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9" fillId="7" borderId="0" xfId="0" applyFont="1" applyFill="1" applyAlignment="1">
      <alignment horizontal="left" vertical="center"/>
    </xf>
    <xf numFmtId="0" fontId="16" fillId="7" borderId="0" xfId="0" applyFont="1" applyFill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/>
    <xf numFmtId="10" fontId="0" fillId="0" borderId="0" xfId="0" applyNumberFormat="1"/>
    <xf numFmtId="164" fontId="0" fillId="0" borderId="0" xfId="0" applyNumberFormat="1"/>
    <xf numFmtId="0" fontId="17" fillId="13" borderId="0" xfId="7"/>
    <xf numFmtId="0" fontId="5" fillId="0" borderId="0" xfId="0" applyFont="1"/>
    <xf numFmtId="9" fontId="0" fillId="0" borderId="0" xfId="0" applyNumberFormat="1"/>
    <xf numFmtId="0" fontId="9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18" fillId="10" borderId="0" xfId="4"/>
    <xf numFmtId="9" fontId="18" fillId="10" borderId="0" xfId="4" applyNumberFormat="1"/>
    <xf numFmtId="0" fontId="9" fillId="0" borderId="0" xfId="0" applyFont="1" applyAlignment="1">
      <alignment horizontal="right"/>
    </xf>
    <xf numFmtId="9" fontId="9" fillId="0" borderId="0" xfId="0" applyNumberFormat="1" applyFont="1" applyAlignment="1">
      <alignment horizontal="right"/>
    </xf>
    <xf numFmtId="0" fontId="16" fillId="0" borderId="0" xfId="0" applyFont="1"/>
    <xf numFmtId="0" fontId="20" fillId="0" borderId="0" xfId="0" applyFont="1"/>
    <xf numFmtId="164" fontId="9" fillId="0" borderId="0" xfId="0" applyNumberFormat="1" applyFont="1"/>
    <xf numFmtId="0" fontId="7" fillId="5" borderId="0" xfId="3" applyAlignment="1">
      <alignment horizontal="center"/>
    </xf>
    <xf numFmtId="0" fontId="7" fillId="5" borderId="0" xfId="3" applyAlignment="1">
      <alignment horizontal="center" vertical="center"/>
    </xf>
    <xf numFmtId="10" fontId="5" fillId="0" borderId="0" xfId="0" applyNumberFormat="1" applyFont="1" applyAlignment="1">
      <alignment horizontal="center"/>
    </xf>
    <xf numFmtId="164" fontId="0" fillId="0" borderId="0" xfId="0" applyNumberFormat="1" applyAlignment="1">
      <alignment horizontal="center"/>
    </xf>
    <xf numFmtId="0" fontId="17" fillId="12" borderId="0" xfId="6" applyAlignment="1">
      <alignment horizontal="center"/>
    </xf>
    <xf numFmtId="0" fontId="0" fillId="16" borderId="0" xfId="10" applyFont="1" applyAlignment="1">
      <alignment horizontal="center"/>
    </xf>
    <xf numFmtId="0" fontId="0" fillId="14" borderId="0" xfId="8" applyFont="1" applyAlignment="1">
      <alignment horizontal="center"/>
    </xf>
    <xf numFmtId="0" fontId="17" fillId="11" borderId="0" xfId="5" applyAlignment="1">
      <alignment horizontal="center"/>
    </xf>
    <xf numFmtId="164" fontId="9" fillId="0" borderId="0" xfId="0" applyNumberFormat="1" applyFont="1" applyAlignment="1">
      <alignment horizontal="center"/>
    </xf>
    <xf numFmtId="0" fontId="17" fillId="13" borderId="0" xfId="7" applyAlignment="1">
      <alignment horizontal="center"/>
    </xf>
    <xf numFmtId="0" fontId="17" fillId="17" borderId="0" xfId="11" applyAlignment="1">
      <alignment horizontal="center"/>
    </xf>
    <xf numFmtId="0" fontId="0" fillId="13" borderId="0" xfId="7" applyFont="1" applyAlignment="1">
      <alignment horizontal="center"/>
    </xf>
    <xf numFmtId="0" fontId="17" fillId="18" borderId="0" xfId="12" applyAlignment="1">
      <alignment horizontal="center"/>
    </xf>
    <xf numFmtId="0" fontId="17" fillId="19" borderId="0" xfId="13" applyAlignment="1">
      <alignment horizontal="center"/>
    </xf>
    <xf numFmtId="0" fontId="17" fillId="14" borderId="0" xfId="8" applyAlignment="1">
      <alignment horizontal="center"/>
    </xf>
    <xf numFmtId="0" fontId="16" fillId="0" borderId="0" xfId="0" applyFont="1" applyAlignment="1">
      <alignment horizontal="left"/>
    </xf>
    <xf numFmtId="0" fontId="0" fillId="11" borderId="0" xfId="5" applyFont="1" applyAlignment="1">
      <alignment horizontal="center"/>
    </xf>
    <xf numFmtId="0" fontId="0" fillId="21" borderId="0" xfId="0" applyFill="1" applyAlignment="1">
      <alignment horizontal="center"/>
    </xf>
    <xf numFmtId="164" fontId="21" fillId="0" borderId="0" xfId="0" applyNumberFormat="1" applyFont="1" applyAlignment="1">
      <alignment horizontal="center"/>
    </xf>
    <xf numFmtId="10" fontId="0" fillId="0" borderId="0" xfId="0" applyNumberFormat="1" applyAlignment="1">
      <alignment horizontal="center"/>
    </xf>
    <xf numFmtId="0" fontId="0" fillId="15" borderId="0" xfId="9" applyFont="1" applyAlignment="1">
      <alignment horizontal="center"/>
    </xf>
    <xf numFmtId="0" fontId="0" fillId="20" borderId="0" xfId="14" applyFont="1" applyAlignment="1">
      <alignment horizontal="center"/>
    </xf>
    <xf numFmtId="0" fontId="0" fillId="12" borderId="0" xfId="6" applyFont="1" applyAlignment="1">
      <alignment horizontal="center"/>
    </xf>
    <xf numFmtId="0" fontId="17" fillId="15" borderId="0" xfId="9" applyAlignment="1">
      <alignment horizontal="center"/>
    </xf>
    <xf numFmtId="0" fontId="0" fillId="17" borderId="0" xfId="11" applyFont="1" applyAlignment="1">
      <alignment horizontal="center"/>
    </xf>
    <xf numFmtId="0" fontId="0" fillId="0" borderId="0" xfId="0">
      <extLst>
        <ext xmlns:xfpb="http://schemas.microsoft.com/office/spreadsheetml/2022/featurepropertybag" uri="{C7286773-470A-42A8-94C5-96B5CB345126}">
          <xfpb:xfComplement i="0"/>
        </ext>
      </extLst>
    </xf>
    <xf numFmtId="10" fontId="0" fillId="0" borderId="0" xfId="0" applyNumberFormat="1">
      <extLst>
        <ext xmlns:xfpb="http://schemas.microsoft.com/office/spreadsheetml/2022/featurepropertybag" uri="{C7286773-470A-42A8-94C5-96B5CB345126}">
          <xfpb:xfComplement i="0"/>
        </ext>
      </extLst>
    </xf>
    <xf numFmtId="164" fontId="0" fillId="0" borderId="0" xfId="0" applyNumberFormat="1">
      <extLst>
        <ext xmlns:xfpb="http://schemas.microsoft.com/office/spreadsheetml/2022/featurepropertybag" uri="{C7286773-470A-42A8-94C5-96B5CB345126}">
          <xfpb:xfComplement i="0"/>
        </ext>
      </extLst>
    </xf>
    <xf numFmtId="10" fontId="9" fillId="0" borderId="0" xfId="0" applyNumberFormat="1" applyFont="1" applyAlignment="1">
      <alignment horizontal="center"/>
    </xf>
    <xf numFmtId="0" fontId="0" fillId="0" borderId="0" xfId="0" applyAlignment="1">
      <alignment wrapText="1"/>
    </xf>
    <xf numFmtId="0" fontId="18" fillId="10" borderId="0" xfId="4" applyAlignment="1">
      <alignment horizontal="center"/>
    </xf>
    <xf numFmtId="0" fontId="22" fillId="10" borderId="0" xfId="4" applyFont="1" applyAlignment="1">
      <alignment horizontal="center"/>
    </xf>
    <xf numFmtId="0" fontId="23" fillId="4" borderId="0" xfId="2" applyFont="1" applyAlignment="1">
      <alignment horizontal="center"/>
    </xf>
    <xf numFmtId="0" fontId="14" fillId="0" borderId="0" xfId="0" applyFont="1"/>
    <xf numFmtId="0" fontId="24" fillId="5" borderId="0" xfId="3" applyFont="1"/>
    <xf numFmtId="0" fontId="0" fillId="16" borderId="0" xfId="10" applyFont="1" applyAlignment="1">
      <alignment horizontal="left"/>
    </xf>
    <xf numFmtId="0" fontId="25" fillId="0" borderId="0" xfId="0" applyFont="1"/>
    <xf numFmtId="0" fontId="15" fillId="0" borderId="0" xfId="0" applyFont="1"/>
    <xf numFmtId="0" fontId="3" fillId="2" borderId="0" xfId="1" applyFill="1"/>
    <xf numFmtId="0" fontId="4" fillId="4" borderId="0" xfId="2" applyAlignment="1">
      <alignment horizontal="left"/>
    </xf>
    <xf numFmtId="0" fontId="18" fillId="10" borderId="0" xfId="4" applyAlignment="1">
      <alignment horizontal="left"/>
    </xf>
    <xf numFmtId="0" fontId="16" fillId="0" borderId="0" xfId="0" applyFont="1" applyAlignment="1">
      <alignment horizontal="center"/>
    </xf>
    <xf numFmtId="9" fontId="7" fillId="5" borderId="0" xfId="3" applyNumberFormat="1"/>
    <xf numFmtId="0" fontId="20" fillId="0" borderId="0" xfId="0" applyFont="1" applyAlignment="1">
      <alignment horizontal="center"/>
    </xf>
  </cellXfs>
  <cellStyles count="15">
    <cellStyle name="20% - Accent1" xfId="5" builtinId="30"/>
    <cellStyle name="20% - Accent2" xfId="7" builtinId="34"/>
    <cellStyle name="20% - Accent3" xfId="10" builtinId="38"/>
    <cellStyle name="20% - Accent5" xfId="12" builtinId="46"/>
    <cellStyle name="40% - Accent1" xfId="6" builtinId="31"/>
    <cellStyle name="40% - Accent2" xfId="8" builtinId="35"/>
    <cellStyle name="40% - Accent3" xfId="11" builtinId="39"/>
    <cellStyle name="40% - Accent5" xfId="13" builtinId="47"/>
    <cellStyle name="60% - Accent2" xfId="9" builtinId="36"/>
    <cellStyle name="60% - Accent5" xfId="14" builtinId="48"/>
    <cellStyle name="Bad" xfId="2" builtinId="27"/>
    <cellStyle name="Good" xfId="4" builtinId="26"/>
    <cellStyle name="Hyperlink" xfId="1" builtinId="8"/>
    <cellStyle name="Neutral" xfId="3" builtinId="28"/>
    <cellStyle name="Normal" xfId="0" builtinId="0"/>
  </cellStyles>
  <dxfs count="217"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0" formatCode="General"/>
    </dxf>
    <dxf>
      <numFmt numFmtId="0" formatCode="General"/>
    </dxf>
    <dxf>
      <numFmt numFmtId="14" formatCode="0.00%"/>
    </dxf>
    <dxf>
      <numFmt numFmtId="164" formatCode="&quot;$&quot;#,##0.00"/>
    </dxf>
    <dxf>
      <numFmt numFmtId="164" formatCode="&quot;$&quot;#,##0.00"/>
    </dxf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0" formatCode="General"/>
    </dxf>
    <dxf>
      <numFmt numFmtId="0" formatCode="General"/>
      <alignment horizontal="center" vertical="bottom" textRotation="0" wrapText="0" indent="0" justifyLastLine="0" shrinkToFit="0" readingOrder="0"/>
    </dxf>
    <dxf>
      <font>
        <b/>
      </font>
      <numFmt numFmtId="0" formatCode="General"/>
      <alignment horizontal="center" vertical="bottom" textRotation="0" wrapText="0" indent="0" justifyLastLine="0" shrinkToFit="0" readingOrder="0"/>
    </dxf>
    <dxf>
      <numFmt numFmtId="0" formatCode="General"/>
    </dxf>
    <dxf>
      <numFmt numFmtId="164" formatCode="&quot;$&quot;#,##0.0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  <alignment horizontal="center" vertical="bottom" textRotation="0" wrapText="0" indent="0" justifyLastLine="0" shrinkToFit="0" readingOrder="0"/>
    </dxf>
    <dxf>
      <font>
        <b/>
      </font>
      <numFmt numFmtId="0" formatCode="General"/>
      <alignment horizontal="center" vertical="bottom" textRotation="0" wrapText="0" indent="0" justifyLastLine="0" shrinkToFit="0" readingOrder="0"/>
    </dxf>
    <dxf>
      <numFmt numFmtId="164" formatCode="&quot;$&quot;#,##0.00"/>
    </dxf>
    <dxf>
      <numFmt numFmtId="164" formatCode="&quot;$&quot;#,##0.0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64" formatCode="&quot;$&quot;#,##0.00"/>
    </dxf>
    <dxf>
      <numFmt numFmtId="164" formatCode="&quot;$&quot;#,##0.00"/>
    </dxf>
    <dxf>
      <numFmt numFmtId="0" formatCode="General"/>
    </dxf>
    <dxf>
      <numFmt numFmtId="14" formatCode="0.00%"/>
    </dxf>
    <dxf>
      <numFmt numFmtId="0" formatCode="General"/>
    </dxf>
    <dxf>
      <numFmt numFmtId="164" formatCode="&quot;$&quot;#,##0.00"/>
    </dxf>
    <dxf>
      <numFmt numFmtId="164" formatCode="&quot;$&quot;#,##0.00"/>
    </dxf>
    <dxf>
      <numFmt numFmtId="0" formatCode="General"/>
    </dxf>
    <dxf>
      <numFmt numFmtId="14" formatCode="0.00%"/>
    </dxf>
    <dxf>
      <numFmt numFmtId="0" formatCode="General"/>
    </dxf>
    <dxf>
      <numFmt numFmtId="0" formatCode="General"/>
    </dxf>
    <dxf>
      <numFmt numFmtId="164" formatCode="&quot;$&quot;#,##0.00"/>
    </dxf>
    <dxf>
      <numFmt numFmtId="164" formatCode="&quot;$&quot;#,##0.00"/>
    </dxf>
    <dxf>
      <numFmt numFmtId="0" formatCode="General"/>
    </dxf>
    <dxf>
      <numFmt numFmtId="14" formatCode="0.00%"/>
    </dxf>
    <dxf>
      <numFmt numFmtId="0" formatCode="General"/>
    </dxf>
    <dxf>
      <numFmt numFmtId="164" formatCode="&quot;$&quot;#,##0.00"/>
      <extLst>
        <ext xmlns:xfpb="http://schemas.microsoft.com/office/spreadsheetml/2022/featurepropertybag" uri="{0417FA29-78FA-4A13-93AC-8FF0FAFDF519}">
          <xfpb:DXFComplement i="0"/>
        </ext>
      </extLst>
    </dxf>
    <dxf>
      <numFmt numFmtId="164" formatCode="&quot;$&quot;#,##0.00"/>
      <extLst>
        <ext xmlns:xfpb="http://schemas.microsoft.com/office/spreadsheetml/2022/featurepropertybag" uri="{0417FA29-78FA-4A13-93AC-8FF0FAFDF519}">
          <xfpb:DXFComplement i="0"/>
        </ext>
      </extLst>
    </dxf>
    <dxf>
      <extLst>
        <ext xmlns:xfpb="http://schemas.microsoft.com/office/spreadsheetml/2022/featurepropertybag" uri="{0417FA29-78FA-4A13-93AC-8FF0FAFDF519}">
          <xfpb:DXFComplement i="0"/>
        </ext>
      </extLst>
    </dxf>
    <dxf>
      <numFmt numFmtId="0" formatCode="General"/>
      <extLst>
        <ext xmlns:xfpb="http://schemas.microsoft.com/office/spreadsheetml/2022/featurepropertybag" uri="{0417FA29-78FA-4A13-93AC-8FF0FAFDF519}">
          <xfpb:DXFComplement i="0"/>
        </ext>
      </extLst>
    </dxf>
    <dxf>
      <numFmt numFmtId="14" formatCode="0.00%"/>
      <extLst>
        <ext xmlns:xfpb="http://schemas.microsoft.com/office/spreadsheetml/2022/featurepropertybag" uri="{0417FA29-78FA-4A13-93AC-8FF0FAFDF519}">
          <xfpb:DXFComplement i="0"/>
        </ext>
      </extLst>
    </dxf>
    <dxf>
      <numFmt numFmtId="0" formatCode="General"/>
      <extLst>
        <ext xmlns:xfpb="http://schemas.microsoft.com/office/spreadsheetml/2022/featurepropertybag" uri="{0417FA29-78FA-4A13-93AC-8FF0FAFDF519}">
          <xfpb:DXFComplement i="0"/>
        </ext>
      </extLst>
    </dxf>
    <dxf>
      <extLst>
        <ext xmlns:xfpb="http://schemas.microsoft.com/office/spreadsheetml/2022/featurepropertybag" uri="{0417FA29-78FA-4A13-93AC-8FF0FAFDF519}">
          <xfpb:DXFComplement i="0"/>
        </ext>
      </extLst>
    </dxf>
    <dxf>
      <numFmt numFmtId="0" formatCode="General"/>
    </dxf>
    <dxf>
      <numFmt numFmtId="164" formatCode="&quot;$&quot;#,##0.00"/>
    </dxf>
    <dxf>
      <numFmt numFmtId="164" formatCode="&quot;$&quot;#,##0.00"/>
    </dxf>
    <dxf>
      <numFmt numFmtId="0" formatCode="General"/>
    </dxf>
    <dxf>
      <numFmt numFmtId="14" formatCode="0.00%"/>
    </dxf>
    <dxf>
      <numFmt numFmtId="0" formatCode="General"/>
    </dxf>
    <dxf>
      <numFmt numFmtId="164" formatCode="&quot;$&quot;#,##0.00"/>
    </dxf>
    <dxf>
      <numFmt numFmtId="164" formatCode="&quot;$&quot;#,##0.00"/>
    </dxf>
    <dxf>
      <numFmt numFmtId="0" formatCode="General"/>
    </dxf>
    <dxf>
      <numFmt numFmtId="14" formatCode="0.00%"/>
    </dxf>
    <dxf>
      <numFmt numFmtId="0" formatCode="General"/>
    </dxf>
    <dxf>
      <fill>
        <patternFill>
          <bgColor rgb="FFFF8265"/>
        </patternFill>
      </fill>
    </dxf>
    <dxf>
      <fill>
        <patternFill>
          <bgColor theme="5" tint="0.79998168889431442"/>
        </patternFill>
      </fill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</dxf>
    <dxf>
      <border outline="0">
        <bottom style="medium">
          <color theme="1"/>
        </bottom>
      </border>
    </dxf>
    <dxf>
      <border outline="0">
        <top style="medium">
          <color theme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ptos Narrow"/>
        <family val="2"/>
        <scheme val="minor"/>
      </font>
      <fill>
        <patternFill patternType="solid">
          <fgColor theme="6"/>
          <bgColor theme="6"/>
        </patternFill>
      </fill>
      <alignment horizontal="center" vertical="center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</font>
    </dxf>
    <dxf>
      <font>
        <strike val="0"/>
        <outline val="0"/>
        <shadow val="0"/>
        <u val="none"/>
        <vertAlign val="baseline"/>
        <color theme="1"/>
      </font>
    </dxf>
    <dxf>
      <font>
        <strike val="0"/>
        <outline val="0"/>
        <shadow val="0"/>
        <u val="none"/>
        <vertAlign val="baseline"/>
        <color theme="1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  <dxf>
      <numFmt numFmtId="164" formatCode="&quot;$&quot;#,##0.00"/>
    </dxf>
    <dxf>
      <numFmt numFmtId="164" formatCode="&quot;$&quot;#,##0.00"/>
    </dxf>
    <dxf>
      <numFmt numFmtId="164" formatCode="&quot;$&quot;#,##0.0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4" formatCode="0.00%"/>
      <alignment horizontal="center" vertical="bottom" textRotation="0" wrapText="0" indent="0" justifyLastLine="0" shrinkToFit="0" readingOrder="0"/>
    </dxf>
    <dxf>
      <numFmt numFmtId="164" formatCode="&quot;$&quot;#,##0.00"/>
      <alignment horizontal="center" vertical="bottom" textRotation="0" wrapText="0" indent="0" justifyLastLine="0" shrinkToFit="0" readingOrder="0"/>
    </dxf>
    <dxf>
      <numFmt numFmtId="164" formatCode="&quot;$&quot;#,##0.0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4" formatCode="&quot;$&quot;#,##0.0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64" formatCode="&quot;$&quot;#,##0.00"/>
      <alignment horizontal="center" vertical="bottom" textRotation="0" wrapText="0" indent="0" justifyLastLine="0" shrinkToFit="0" readingOrder="0"/>
    </dxf>
    <dxf>
      <numFmt numFmtId="164" formatCode="&quot;$&quot;#,##0.00"/>
      <alignment horizontal="center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font>
        <b/>
      </font>
      <numFmt numFmtId="0" formatCode="General"/>
      <alignment horizontal="center" vertical="bottom" textRotation="0" wrapText="0" indent="0" justifyLastLine="0" shrinkToFit="0" readingOrder="0"/>
    </dxf>
    <dxf>
      <numFmt numFmtId="0" formatCode="General"/>
    </dxf>
    <dxf>
      <numFmt numFmtId="164" formatCode="&quot;$&quot;#,##0.0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  <alignment horizontal="center" vertical="bottom" textRotation="0" wrapText="0" indent="0" justifyLastLine="0" shrinkToFit="0" readingOrder="0"/>
    </dxf>
    <dxf>
      <font>
        <b/>
      </font>
      <numFmt numFmtId="0" formatCode="General"/>
      <alignment horizontal="center" vertical="bottom" textRotation="0" wrapText="0" indent="0" justifyLastLine="0" shrinkToFit="0" readingOrder="0"/>
    </dxf>
    <dxf>
      <numFmt numFmtId="164" formatCode="&quot;$&quot;#,##0.00"/>
    </dxf>
    <dxf>
      <numFmt numFmtId="164" formatCode="&quot;$&quot;#,##0.0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64" formatCode="&quot;$&quot;#,##0.00"/>
    </dxf>
    <dxf>
      <numFmt numFmtId="164" formatCode="&quot;$&quot;#,##0.00"/>
    </dxf>
    <dxf>
      <numFmt numFmtId="0" formatCode="General"/>
    </dxf>
    <dxf>
      <numFmt numFmtId="14" formatCode="0.00%"/>
    </dxf>
    <dxf>
      <numFmt numFmtId="0" formatCode="General"/>
    </dxf>
    <dxf>
      <numFmt numFmtId="164" formatCode="&quot;$&quot;#,##0.00"/>
    </dxf>
    <dxf>
      <numFmt numFmtId="164" formatCode="&quot;$&quot;#,##0.00"/>
    </dxf>
    <dxf>
      <numFmt numFmtId="0" formatCode="General"/>
    </dxf>
    <dxf>
      <numFmt numFmtId="14" formatCode="0.00%"/>
    </dxf>
    <dxf>
      <numFmt numFmtId="0" formatCode="General"/>
    </dxf>
    <dxf>
      <numFmt numFmtId="0" formatCode="General"/>
    </dxf>
    <dxf>
      <numFmt numFmtId="164" formatCode="&quot;$&quot;#,##0.00"/>
    </dxf>
    <dxf>
      <numFmt numFmtId="164" formatCode="&quot;$&quot;#,##0.00"/>
    </dxf>
    <dxf>
      <numFmt numFmtId="0" formatCode="General"/>
    </dxf>
    <dxf>
      <numFmt numFmtId="14" formatCode="0.00%"/>
    </dxf>
    <dxf>
      <numFmt numFmtId="0" formatCode="General"/>
    </dxf>
    <dxf>
      <numFmt numFmtId="164" formatCode="&quot;$&quot;#,##0.00"/>
      <extLst>
        <ext xmlns:xfpb="http://schemas.microsoft.com/office/spreadsheetml/2022/featurepropertybag" uri="{0417FA29-78FA-4A13-93AC-8FF0FAFDF519}">
          <xfpb:DXFComplement i="0"/>
        </ext>
      </extLst>
    </dxf>
    <dxf>
      <numFmt numFmtId="164" formatCode="&quot;$&quot;#,##0.00"/>
      <extLst>
        <ext xmlns:xfpb="http://schemas.microsoft.com/office/spreadsheetml/2022/featurepropertybag" uri="{0417FA29-78FA-4A13-93AC-8FF0FAFDF519}">
          <xfpb:DXFComplement i="0"/>
        </ext>
      </extLst>
    </dxf>
    <dxf>
      <extLst>
        <ext xmlns:xfpb="http://schemas.microsoft.com/office/spreadsheetml/2022/featurepropertybag" uri="{0417FA29-78FA-4A13-93AC-8FF0FAFDF519}">
          <xfpb:DXFComplement i="0"/>
        </ext>
      </extLst>
    </dxf>
    <dxf>
      <numFmt numFmtId="0" formatCode="General"/>
      <extLst>
        <ext xmlns:xfpb="http://schemas.microsoft.com/office/spreadsheetml/2022/featurepropertybag" uri="{0417FA29-78FA-4A13-93AC-8FF0FAFDF519}">
          <xfpb:DXFComplement i="0"/>
        </ext>
      </extLst>
    </dxf>
    <dxf>
      <numFmt numFmtId="14" formatCode="0.00%"/>
      <extLst>
        <ext xmlns:xfpb="http://schemas.microsoft.com/office/spreadsheetml/2022/featurepropertybag" uri="{0417FA29-78FA-4A13-93AC-8FF0FAFDF519}">
          <xfpb:DXFComplement i="0"/>
        </ext>
      </extLst>
    </dxf>
    <dxf>
      <numFmt numFmtId="0" formatCode="General"/>
      <extLst>
        <ext xmlns:xfpb="http://schemas.microsoft.com/office/spreadsheetml/2022/featurepropertybag" uri="{0417FA29-78FA-4A13-93AC-8FF0FAFDF519}">
          <xfpb:DXFComplement i="0"/>
        </ext>
      </extLst>
    </dxf>
    <dxf>
      <extLst>
        <ext xmlns:xfpb="http://schemas.microsoft.com/office/spreadsheetml/2022/featurepropertybag" uri="{0417FA29-78FA-4A13-93AC-8FF0FAFDF519}">
          <xfpb:DXFComplement i="0"/>
        </ext>
      </extLst>
    </dxf>
    <dxf>
      <numFmt numFmtId="0" formatCode="General"/>
    </dxf>
    <dxf>
      <numFmt numFmtId="164" formatCode="&quot;$&quot;#,##0.00"/>
    </dxf>
    <dxf>
      <numFmt numFmtId="164" formatCode="&quot;$&quot;#,##0.00"/>
    </dxf>
    <dxf>
      <numFmt numFmtId="0" formatCode="General"/>
    </dxf>
    <dxf>
      <numFmt numFmtId="14" formatCode="0.00%"/>
    </dxf>
    <dxf>
      <numFmt numFmtId="0" formatCode="General"/>
    </dxf>
    <dxf>
      <numFmt numFmtId="164" formatCode="&quot;$&quot;#,##0.00"/>
      <alignment horizontal="center" vertical="bottom" textRotation="0" wrapText="0" indent="0" justifyLastLine="0" shrinkToFit="0" readingOrder="0"/>
    </dxf>
    <dxf>
      <numFmt numFmtId="164" formatCode="&quot;$&quot;#,##0.0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14" formatCode="0.00%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ill>
        <patternFill>
          <bgColor rgb="FFFF8265"/>
        </patternFill>
      </fill>
    </dxf>
    <dxf>
      <fill>
        <patternFill>
          <bgColor theme="5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4" formatCode="&quot;$&quot;#,##0.0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numFmt numFmtId="164" formatCode="&quot;$&quot;#,##0.00"/>
      <alignment horizontal="center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ptos Narrow"/>
        <family val="2"/>
        <scheme val="minor"/>
      </font>
    </dxf>
    <dxf>
      <numFmt numFmtId="164" formatCode="&quot;$&quot;#,##0.00"/>
      <alignment horizontal="center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</font>
      <numFmt numFmtId="164" formatCode="&quot;$&quot;#,##0.00"/>
      <alignment horizontal="center" vertical="bottom" textRotation="0" wrapText="0" indent="0" justifyLastLine="0" shrinkToFit="0" readingOrder="0"/>
    </dxf>
    <dxf>
      <font>
        <b/>
      </font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numFmt numFmtId="164" formatCode="&quot;$&quot;#,##0.00"/>
    </dxf>
    <dxf>
      <numFmt numFmtId="0" formatCode="General"/>
    </dxf>
    <dxf>
      <numFmt numFmtId="0" formatCode="General"/>
    </dxf>
    <dxf>
      <numFmt numFmtId="14" formatCode="0.00%"/>
    </dxf>
    <dxf>
      <numFmt numFmtId="164" formatCode="&quot;$&quot;#,##0.00"/>
    </dxf>
    <dxf>
      <numFmt numFmtId="164" formatCode="&quot;$&quot;#,##0.00"/>
    </dxf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0" formatCode="General"/>
    </dxf>
    <dxf>
      <numFmt numFmtId="164" formatCode="&quot;$&quot;#,##0.00"/>
    </dxf>
    <dxf>
      <numFmt numFmtId="0" formatCode="General"/>
    </dxf>
    <dxf>
      <numFmt numFmtId="0" formatCode="General"/>
    </dxf>
    <dxf>
      <numFmt numFmtId="14" formatCode="0.00%"/>
    </dxf>
    <dxf>
      <numFmt numFmtId="164" formatCode="&quot;$&quot;#,##0.00"/>
    </dxf>
    <dxf>
      <numFmt numFmtId="164" formatCode="&quot;$&quot;#,##0.00"/>
    </dxf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0" formatCode="General"/>
    </dxf>
    <dxf>
      <numFmt numFmtId="164" formatCode="&quot;$&quot;#,##0.00"/>
    </dxf>
    <dxf>
      <numFmt numFmtId="0" formatCode="General"/>
    </dxf>
    <dxf>
      <numFmt numFmtId="0" formatCode="General"/>
    </dxf>
    <dxf>
      <numFmt numFmtId="14" formatCode="0.00%"/>
    </dxf>
    <dxf>
      <numFmt numFmtId="164" formatCode="&quot;$&quot;#,##0.00"/>
    </dxf>
    <dxf>
      <numFmt numFmtId="164" formatCode="&quot;$&quot;#,##0.00"/>
    </dxf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0" formatCode="General"/>
    </dxf>
  </dxfs>
  <tableStyles count="0" defaultTableStyle="TableStyleMedium2" defaultPivotStyle="PivotStyleLight16"/>
  <colors>
    <mruColors>
      <color rgb="FFFF8265"/>
      <color rgb="FFFF9393"/>
      <color rgb="FFFFABAB"/>
      <color rgb="FFFF5050"/>
      <color rgb="FFFFFF99"/>
      <color rgb="FFFDFA8E"/>
      <color rgb="FFFFE7AB"/>
      <color rgb="FFF0DE90"/>
      <color rgb="FFF6DC94"/>
      <color rgb="FFF7E3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22/11/relationships/FeaturePropertyBag" Target="featurePropertyBag/featurePropertyBag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49661821118514E-2"/>
          <c:y val="0.10521054554520305"/>
          <c:w val="0.91152954438387512"/>
          <c:h val="0.75577381045278491"/>
        </c:manualLayout>
      </c:layout>
      <c:barChart>
        <c:barDir val="col"/>
        <c:grouping val="clustered"/>
        <c:varyColors val="0"/>
        <c:ser>
          <c:idx val="0"/>
          <c:order val="0"/>
          <c:spPr>
            <a:noFill/>
            <a:ln w="25400" cap="flat" cmpd="sng" algn="ctr">
              <a:solidFill>
                <a:schemeClr val="accent1"/>
              </a:solidFill>
              <a:miter lim="800000"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'Forcast &amp; Budget Concret'!$O$16:$O$20</c:f>
              <c:strCache>
                <c:ptCount val="5"/>
                <c:pt idx="0">
                  <c:v>S</c:v>
                </c:pt>
                <c:pt idx="1">
                  <c:v>M</c:v>
                </c:pt>
                <c:pt idx="2">
                  <c:v>L</c:v>
                </c:pt>
                <c:pt idx="3">
                  <c:v>XL</c:v>
                </c:pt>
                <c:pt idx="4">
                  <c:v>XXL</c:v>
                </c:pt>
              </c:strCache>
            </c:strRef>
          </c:cat>
          <c:val>
            <c:numRef>
              <c:f>'Forcast &amp; Budget Concret'!$P$16:$P$20</c:f>
              <c:numCache>
                <c:formatCode>0%</c:formatCode>
                <c:ptCount val="5"/>
                <c:pt idx="0">
                  <c:v>0.1</c:v>
                </c:pt>
                <c:pt idx="1">
                  <c:v>0.25</c:v>
                </c:pt>
                <c:pt idx="2">
                  <c:v>0.25</c:v>
                </c:pt>
                <c:pt idx="3">
                  <c:v>0.25</c:v>
                </c:pt>
                <c:pt idx="4">
                  <c:v>0.15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D4E-4187-9FBE-B909A4955628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64"/>
        <c:overlap val="-35"/>
        <c:axId val="1421928912"/>
        <c:axId val="1421929392"/>
      </c:barChart>
      <c:catAx>
        <c:axId val="1421928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21929392"/>
        <c:crosses val="autoZero"/>
        <c:auto val="1"/>
        <c:lblAlgn val="ctr"/>
        <c:lblOffset val="100"/>
        <c:noMultiLvlLbl val="0"/>
      </c:catAx>
      <c:valAx>
        <c:axId val="1421929392"/>
        <c:scaling>
          <c:orientation val="minMax"/>
        </c:scaling>
        <c:delete val="0"/>
        <c:axPos val="l"/>
        <c:majorGridlines>
          <c:spPr>
            <a:ln w="9525">
              <a:solidFill>
                <a:schemeClr val="tx1">
                  <a:lumMod val="15000"/>
                  <a:lumOff val="85000"/>
                </a:schemeClr>
              </a:solidFill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21928912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542061368769266"/>
          <c:y val="0.13609701486320613"/>
          <c:w val="0.48341625857963644"/>
          <c:h val="0.71400651725348141"/>
        </c:manualLayout>
      </c:layout>
      <c:pieChart>
        <c:varyColors val="1"/>
        <c:ser>
          <c:idx val="0"/>
          <c:order val="0"/>
          <c:tx>
            <c:strRef>
              <c:f>'Forcast &amp; Budget Concret'!$T$59</c:f>
              <c:strCache>
                <c:ptCount val="1"/>
                <c:pt idx="0">
                  <c:v>Column2</c:v>
                </c:pt>
              </c:strCache>
            </c:strRef>
          </c:tx>
          <c:dPt>
            <c:idx val="0"/>
            <c:bubble3D val="0"/>
            <c:spPr>
              <a:solidFill>
                <a:schemeClr val="accent4">
                  <a:shade val="53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E687-4F15-8DB4-F3603633C681}"/>
              </c:ext>
            </c:extLst>
          </c:dPt>
          <c:dPt>
            <c:idx val="1"/>
            <c:bubble3D val="0"/>
            <c:spPr>
              <a:solidFill>
                <a:schemeClr val="accent4">
                  <a:shade val="76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E687-4F15-8DB4-F3603633C681}"/>
              </c:ext>
            </c:extLst>
          </c:dPt>
          <c:dPt>
            <c:idx val="2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E687-4F15-8DB4-F3603633C681}"/>
              </c:ext>
            </c:extLst>
          </c:dPt>
          <c:dPt>
            <c:idx val="3"/>
            <c:bubble3D val="0"/>
            <c:spPr>
              <a:solidFill>
                <a:schemeClr val="accent4">
                  <a:tint val="77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E687-4F15-8DB4-F3603633C681}"/>
              </c:ext>
            </c:extLst>
          </c:dPt>
          <c:dPt>
            <c:idx val="4"/>
            <c:bubble3D val="0"/>
            <c:spPr>
              <a:solidFill>
                <a:schemeClr val="accent4">
                  <a:tint val="54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E687-4F15-8DB4-F3603633C681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shade val="53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E687-4F15-8DB4-F3603633C681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shade val="76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E687-4F15-8DB4-F3603633C681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E687-4F15-8DB4-F3603633C681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tint val="77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E687-4F15-8DB4-F3603633C681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tint val="54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E687-4F15-8DB4-F3603633C681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'Forcast &amp; Budget Concret'!$S$60:$S$64</c:f>
              <c:strCache>
                <c:ptCount val="5"/>
                <c:pt idx="0">
                  <c:v>Blended T-shirt</c:v>
                </c:pt>
                <c:pt idx="1">
                  <c:v>Cotton T-shirt</c:v>
                </c:pt>
                <c:pt idx="2">
                  <c:v>Hat</c:v>
                </c:pt>
                <c:pt idx="3">
                  <c:v>Shaker Bottle</c:v>
                </c:pt>
                <c:pt idx="4">
                  <c:v>Stickers</c:v>
                </c:pt>
              </c:strCache>
            </c:strRef>
          </c:cat>
          <c:val>
            <c:numRef>
              <c:f>'Forcast &amp; Budget Concret'!$T$60:$T$64</c:f>
              <c:numCache>
                <c:formatCode>"$"#,##0.00</c:formatCode>
                <c:ptCount val="5"/>
                <c:pt idx="0">
                  <c:v>2840</c:v>
                </c:pt>
                <c:pt idx="1">
                  <c:v>3870</c:v>
                </c:pt>
                <c:pt idx="2">
                  <c:v>1593.8</c:v>
                </c:pt>
                <c:pt idx="3">
                  <c:v>1932.0000000000002</c:v>
                </c:pt>
                <c:pt idx="4">
                  <c:v>532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87-4F15-8DB4-F3603633C68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49661821118514E-2"/>
          <c:y val="0.10521054554520305"/>
          <c:w val="0.91152954438387512"/>
          <c:h val="0.75577381045278491"/>
        </c:manualLayout>
      </c:layout>
      <c:barChart>
        <c:barDir val="col"/>
        <c:grouping val="clustered"/>
        <c:varyColors val="0"/>
        <c:ser>
          <c:idx val="0"/>
          <c:order val="0"/>
          <c:spPr>
            <a:noFill/>
            <a:ln w="25400" cap="flat" cmpd="sng" algn="ctr">
              <a:solidFill>
                <a:schemeClr val="accent1"/>
              </a:solidFill>
              <a:miter lim="800000"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'Pricing Forcast &amp; Budget PHD'!$O$15:$O$19</c:f>
              <c:strCache>
                <c:ptCount val="5"/>
                <c:pt idx="0">
                  <c:v>S</c:v>
                </c:pt>
                <c:pt idx="1">
                  <c:v>M</c:v>
                </c:pt>
                <c:pt idx="2">
                  <c:v>L</c:v>
                </c:pt>
                <c:pt idx="3">
                  <c:v>XL</c:v>
                </c:pt>
                <c:pt idx="4">
                  <c:v>XXL</c:v>
                </c:pt>
              </c:strCache>
            </c:strRef>
          </c:cat>
          <c:val>
            <c:numRef>
              <c:f>'Pricing Forcast &amp; Budget PHD'!$P$15:$P$19</c:f>
              <c:numCache>
                <c:formatCode>0%</c:formatCode>
                <c:ptCount val="5"/>
                <c:pt idx="0">
                  <c:v>0.1</c:v>
                </c:pt>
                <c:pt idx="1">
                  <c:v>0.25</c:v>
                </c:pt>
                <c:pt idx="2">
                  <c:v>0.25</c:v>
                </c:pt>
                <c:pt idx="3">
                  <c:v>0.25</c:v>
                </c:pt>
                <c:pt idx="4">
                  <c:v>0.15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A9E-4D8B-9715-3DC6141BE66A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64"/>
        <c:overlap val="-35"/>
        <c:axId val="1421928912"/>
        <c:axId val="1421929392"/>
      </c:barChart>
      <c:catAx>
        <c:axId val="1421928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21929392"/>
        <c:crosses val="autoZero"/>
        <c:auto val="1"/>
        <c:lblAlgn val="ctr"/>
        <c:lblOffset val="100"/>
        <c:noMultiLvlLbl val="0"/>
      </c:catAx>
      <c:valAx>
        <c:axId val="1421929392"/>
        <c:scaling>
          <c:orientation val="minMax"/>
        </c:scaling>
        <c:delete val="0"/>
        <c:axPos val="l"/>
        <c:majorGridlines>
          <c:spPr>
            <a:ln w="9525">
              <a:solidFill>
                <a:schemeClr val="tx1">
                  <a:lumMod val="15000"/>
                  <a:lumOff val="85000"/>
                </a:schemeClr>
              </a:solidFill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21928912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542061368769266"/>
          <c:y val="0.13609701486320613"/>
          <c:w val="0.48341625857963644"/>
          <c:h val="0.71400651725348141"/>
        </c:manualLayout>
      </c:layout>
      <c:pieChart>
        <c:varyColors val="1"/>
        <c:ser>
          <c:idx val="0"/>
          <c:order val="0"/>
          <c:tx>
            <c:strRef>
              <c:f>'Pricing Forcast &amp; Budget PHD'!$W$40</c:f>
              <c:strCache>
                <c:ptCount val="1"/>
                <c:pt idx="0">
                  <c:v>Column2</c:v>
                </c:pt>
              </c:strCache>
            </c:strRef>
          </c:tx>
          <c:dPt>
            <c:idx val="0"/>
            <c:bubble3D val="0"/>
            <c:spPr>
              <a:solidFill>
                <a:schemeClr val="accent4">
                  <a:shade val="53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0030-4A2C-A294-385383C75E5B}"/>
              </c:ext>
            </c:extLst>
          </c:dPt>
          <c:dPt>
            <c:idx val="1"/>
            <c:bubble3D val="0"/>
            <c:spPr>
              <a:solidFill>
                <a:schemeClr val="accent4">
                  <a:shade val="76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0030-4A2C-A294-385383C75E5B}"/>
              </c:ext>
            </c:extLst>
          </c:dPt>
          <c:dPt>
            <c:idx val="2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0030-4A2C-A294-385383C75E5B}"/>
              </c:ext>
            </c:extLst>
          </c:dPt>
          <c:dPt>
            <c:idx val="3"/>
            <c:bubble3D val="0"/>
            <c:spPr>
              <a:solidFill>
                <a:schemeClr val="accent4">
                  <a:tint val="77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0030-4A2C-A294-385383C75E5B}"/>
              </c:ext>
            </c:extLst>
          </c:dPt>
          <c:dPt>
            <c:idx val="4"/>
            <c:bubble3D val="0"/>
            <c:spPr>
              <a:solidFill>
                <a:schemeClr val="accent4">
                  <a:tint val="54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0030-4A2C-A294-385383C75E5B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shade val="53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0030-4A2C-A294-385383C75E5B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shade val="76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0030-4A2C-A294-385383C75E5B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0030-4A2C-A294-385383C75E5B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tint val="77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7-0030-4A2C-A294-385383C75E5B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tint val="54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9-0030-4A2C-A294-385383C75E5B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'Pricing Forcast &amp; Budget PHD'!$V$41:$V$45</c:f>
              <c:strCache>
                <c:ptCount val="5"/>
                <c:pt idx="0">
                  <c:v>Blended T-shirt</c:v>
                </c:pt>
                <c:pt idx="1">
                  <c:v>Cotton T-shirt</c:v>
                </c:pt>
                <c:pt idx="2">
                  <c:v>Hat</c:v>
                </c:pt>
                <c:pt idx="3">
                  <c:v>Shaker Bottle</c:v>
                </c:pt>
                <c:pt idx="4">
                  <c:v>Stickers</c:v>
                </c:pt>
              </c:strCache>
            </c:strRef>
          </c:cat>
          <c:val>
            <c:numRef>
              <c:f>'Pricing Forcast &amp; Budget PHD'!$W$41:$W$45</c:f>
              <c:numCache>
                <c:formatCode>"$"#,##0.00</c:formatCode>
                <c:ptCount val="5"/>
                <c:pt idx="0">
                  <c:v>2493.1999999999998</c:v>
                </c:pt>
                <c:pt idx="1">
                  <c:v>3316.6</c:v>
                </c:pt>
                <c:pt idx="2">
                  <c:v>2553.25</c:v>
                </c:pt>
                <c:pt idx="3">
                  <c:v>1188.25</c:v>
                </c:pt>
                <c:pt idx="4">
                  <c:v>1276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0030-4A2C-A294-385383C75E5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style1.xml><?xml version="1.0" encoding="utf-8"?>
<cs:chartStyle xmlns:cs="http://schemas.microsoft.com/office/drawing/2012/chartStyle" xmlns:a="http://schemas.openxmlformats.org/drawingml/2006/main" id="211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35000"/>
          <a:lumOff val="65000"/>
        </a:schemeClr>
      </a:solidFill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/>
    <cs:fontRef idx="minor">
      <a:schemeClr val="dk1"/>
    </cs:fontRef>
    <cs:spPr>
      <a:noFill/>
      <a:ln w="25400" cap="flat" cmpd="sng" algn="ctr">
        <a:solidFill>
          <a:schemeClr val="phClr"/>
        </a:solidFill>
        <a:miter lim="800000"/>
      </a:ln>
    </cs:spPr>
  </cs:dataPoint>
  <cs:dataPoint3D>
    <cs:lnRef idx="0">
      <cs:styleClr val="auto"/>
    </cs:lnRef>
    <cs:fillRef idx="0">
      <cs:styleClr val="auto"/>
    </cs:fillRef>
    <cs:effectRef idx="0"/>
    <cs:fontRef idx="minor">
      <a:schemeClr val="dk1"/>
    </cs:fontRef>
    <cs:spPr>
      <a:ln w="19050" cap="flat" cmpd="sng" algn="ctr">
        <a:solidFill>
          <a:schemeClr val="phClr"/>
        </a:solidFill>
        <a:miter lim="800000"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1"/>
    <cs:effectRef idx="0"/>
    <cs:fontRef idx="minor">
      <a:schemeClr val="tx1"/>
    </cs:fontRef>
    <cs:spPr>
      <a:ln w="9525">
        <a:solidFill>
          <a:schemeClr val="phClr"/>
        </a:solidFill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0" kern="1200" cap="none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1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35000"/>
          <a:lumOff val="65000"/>
        </a:schemeClr>
      </a:solidFill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/>
    <cs:fontRef idx="minor">
      <a:schemeClr val="dk1"/>
    </cs:fontRef>
    <cs:spPr>
      <a:noFill/>
      <a:ln w="25400" cap="flat" cmpd="sng" algn="ctr">
        <a:solidFill>
          <a:schemeClr val="phClr"/>
        </a:solidFill>
        <a:miter lim="800000"/>
      </a:ln>
    </cs:spPr>
  </cs:dataPoint>
  <cs:dataPoint3D>
    <cs:lnRef idx="0">
      <cs:styleClr val="auto"/>
    </cs:lnRef>
    <cs:fillRef idx="0">
      <cs:styleClr val="auto"/>
    </cs:fillRef>
    <cs:effectRef idx="0"/>
    <cs:fontRef idx="minor">
      <a:schemeClr val="dk1"/>
    </cs:fontRef>
    <cs:spPr>
      <a:ln w="19050" cap="flat" cmpd="sng" algn="ctr">
        <a:solidFill>
          <a:schemeClr val="phClr"/>
        </a:solidFill>
        <a:miter lim="800000"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1"/>
    <cs:effectRef idx="0"/>
    <cs:fontRef idx="minor">
      <a:schemeClr val="tx1"/>
    </cs:fontRef>
    <cs:spPr>
      <a:ln w="9525">
        <a:solidFill>
          <a:schemeClr val="phClr"/>
        </a:solidFill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0" kern="1200" cap="none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</xdr:colOff>
      <xdr:row>11</xdr:row>
      <xdr:rowOff>0</xdr:rowOff>
    </xdr:from>
    <xdr:to>
      <xdr:col>23</xdr:col>
      <xdr:colOff>0</xdr:colOff>
      <xdr:row>20</xdr:row>
      <xdr:rowOff>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760DADB3-C52C-6909-8E3B-3731154124D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0</xdr:colOff>
      <xdr:row>40</xdr:row>
      <xdr:rowOff>0</xdr:rowOff>
    </xdr:from>
    <xdr:to>
      <xdr:col>20</xdr:col>
      <xdr:colOff>0</xdr:colOff>
      <xdr:row>55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3D26DC6-5034-11DD-1B8A-3B128D861FF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</xdr:colOff>
      <xdr:row>10</xdr:row>
      <xdr:rowOff>0</xdr:rowOff>
    </xdr:from>
    <xdr:to>
      <xdr:col>23</xdr:col>
      <xdr:colOff>0</xdr:colOff>
      <xdr:row>19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A2EAB7A-683D-4461-A927-FBF51D6672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0</xdr:colOff>
      <xdr:row>39</xdr:row>
      <xdr:rowOff>0</xdr:rowOff>
    </xdr:from>
    <xdr:to>
      <xdr:col>20</xdr:col>
      <xdr:colOff>0</xdr:colOff>
      <xdr:row>54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FAAB7D8-7D8E-4854-BF59-23AC972198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  <bag type="DXFComplements" extRef="DXFComplementsMapperExtRef">
    <a k="MappedFeaturePropertyBags">
      <bagId>2</bagId>
    </a>
  </bag>
</FeaturePropertyBag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2EB819E9-80D2-45A7-B182-66E607163B26}" name="Table8217" displayName="Table8217" ref="A12:D18" totalsRowCount="1">
  <autoFilter ref="A12:D17" xr:uid="{2EB819E9-80D2-45A7-B182-66E607163B26}"/>
  <tableColumns count="4">
    <tableColumn id="1" xr3:uid="{26EED882-E191-4D19-98BA-37C75FF6C11D}" name="Merch Item" dataDxfId="216">
      <calculatedColumnFormula>A5</calculatedColumnFormula>
    </tableColumn>
    <tableColumn id="2" xr3:uid="{08983297-FAF1-4FD2-84E8-7D478311A074}" name="Target Cost" dataDxfId="214" totalsRowDxfId="215">
      <calculatedColumnFormula>B5</calculatedColumnFormula>
    </tableColumn>
    <tableColumn id="5" xr3:uid="{06BB8144-B2BF-4E1B-9FB1-BA7BA13A3738}" name="Quanity"/>
    <tableColumn id="6" xr3:uid="{C3C2486E-3C30-48A8-94FC-E396AA10518C}" name="Total Cost" totalsRowFunction="custom" dataDxfId="212" totalsRowDxfId="213">
      <calculatedColumnFormula>PRODUCT(B13,C13)</calculatedColumnFormula>
      <totalsRowFormula>SUM(D13:D17)</totalsRowFormula>
    </tableColumn>
  </tableColumns>
  <tableStyleInfo name="TableStyleMedium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E6366622-BDFD-4B5F-AD73-C344A9242D68}" name="Table88" displayName="Table88" ref="A4:H9" totalsRowShown="0">
  <autoFilter ref="A4:H9" xr:uid="{E6366622-BDFD-4B5F-AD73-C344A9242D68}"/>
  <tableColumns count="8">
    <tableColumn id="1" xr3:uid="{7F391F36-3501-4723-8BD8-E6B45ED57416}" name="Merch Item"/>
    <tableColumn id="2" xr3:uid="{FD7217D1-3F1E-4A46-8C8A-C42810B46B5C}" name="Target Cost" dataDxfId="211"/>
    <tableColumn id="3" xr3:uid="{84DEE3CB-1C12-482F-831A-ADE822D1041A}" name="Price" dataDxfId="210"/>
    <tableColumn id="4" xr3:uid="{0EEE0592-DF9A-4422-846C-007EF8D3FABC}" name="Margin" dataDxfId="209">
      <calculatedColumnFormula>IFERROR(ROUND((C5-B5)/C5, 2), 0)</calculatedColumnFormula>
    </tableColumn>
    <tableColumn id="5" xr3:uid="{C2406B9C-1F02-4410-A07A-1FD3F1280080}" name="Quanity"/>
    <tableColumn id="6" xr3:uid="{5D1A2552-2AEE-453F-B61E-687399F5F0F0}" name="Total Cost" dataDxfId="208">
      <calculatedColumnFormula>PRODUCT(B5,E5)</calculatedColumnFormula>
    </tableColumn>
    <tableColumn id="7" xr3:uid="{0E9725F1-0916-4572-A168-37BB6FC4B7FF}" name="Total Value" dataDxfId="207">
      <calculatedColumnFormula>PRODUCT(C5,E5)</calculatedColumnFormula>
    </tableColumn>
    <tableColumn id="8" xr3:uid="{ED4A0688-4F91-40D2-BA7C-B3FA1B25C609}" name="Notes" dataDxfId="206"/>
  </tableColumns>
  <tableStyleInfo name="TableStyleMedium1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FA285CB8-953F-4ECB-B254-06F8A9C80CB1}" name="Table821725" displayName="Table821725" ref="A31:D37" totalsRowCount="1">
  <autoFilter ref="A31:D36" xr:uid="{FA285CB8-953F-4ECB-B254-06F8A9C80CB1}"/>
  <tableColumns count="4">
    <tableColumn id="1" xr3:uid="{43799694-0747-4790-8DF4-FF974462F2B6}" name="Merch Item" dataDxfId="205">
      <calculatedColumnFormula>A24</calculatedColumnFormula>
    </tableColumn>
    <tableColumn id="2" xr3:uid="{01820585-AB61-4D56-AC83-6986BC9603FB}" name="Target Cost" dataDxfId="203" totalsRowDxfId="204">
      <calculatedColumnFormula>B24</calculatedColumnFormula>
    </tableColumn>
    <tableColumn id="5" xr3:uid="{D02EF59F-6BCC-4ADD-878D-433ED8F39ACE}" name="Quanity"/>
    <tableColumn id="6" xr3:uid="{C54AD5E3-3246-4B99-A288-B2F73D9039D0}" name="Total Cost" totalsRowFunction="custom" dataDxfId="201" totalsRowDxfId="202">
      <calculatedColumnFormula>PRODUCT(B32,C32)</calculatedColumnFormula>
      <totalsRowFormula>SUM(D32:D36)</totalsRowFormula>
    </tableColumn>
  </tableColumns>
  <tableStyleInfo name="TableStyleMedium18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3A5DD98B-8AD3-4E81-B949-F31332586156}" name="Table8826" displayName="Table8826" ref="A23:H28" totalsRowShown="0">
  <autoFilter ref="A23:H28" xr:uid="{3A5DD98B-8AD3-4E81-B949-F31332586156}"/>
  <tableColumns count="8">
    <tableColumn id="1" xr3:uid="{DD88147E-0CDA-4AF3-B744-4F3943012BF5}" name="Merch Item"/>
    <tableColumn id="2" xr3:uid="{F1377B87-C09B-4E45-A4E5-BEA743A6AE4B}" name="Target Cost" dataDxfId="200"/>
    <tableColumn id="3" xr3:uid="{76635E52-9C4B-4F3C-9FA0-44AB3AF19153}" name="Price" dataDxfId="199"/>
    <tableColumn id="4" xr3:uid="{541E54A2-4163-4EDE-976E-C21AE0D4E51F}" name="Margin" dataDxfId="198">
      <calculatedColumnFormula>IFERROR(ROUND((C24-B24)/C24, 2), 0)</calculatedColumnFormula>
    </tableColumn>
    <tableColumn id="5" xr3:uid="{64FA4EE8-928E-4092-A62D-2E31C9B68392}" name="Quanity"/>
    <tableColumn id="6" xr3:uid="{0A33847A-0097-4666-84BC-7B683D83D380}" name="Total Cost" dataDxfId="197">
      <calculatedColumnFormula>PRODUCT(B24,E24)</calculatedColumnFormula>
    </tableColumn>
    <tableColumn id="7" xr3:uid="{A038FE5D-B8E9-44A0-8084-0C57A727AD84}" name="Total Value" dataDxfId="196">
      <calculatedColumnFormula>PRODUCT(C24,E24)</calculatedColumnFormula>
    </tableColumn>
    <tableColumn id="8" xr3:uid="{B10E5761-8530-4EDE-A3AD-FEB21DECC08A}" name="Notes" dataDxfId="195"/>
  </tableColumns>
  <tableStyleInfo name="TableStyleMedium18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F51535D3-3FBA-4C8A-9F12-70AB7851C481}" name="Table82172528" displayName="Table82172528" ref="A49:D55" totalsRowCount="1">
  <autoFilter ref="A49:D54" xr:uid="{F51535D3-3FBA-4C8A-9F12-70AB7851C481}"/>
  <tableColumns count="4">
    <tableColumn id="1" xr3:uid="{40AE95BC-B760-4D2F-8588-20DB50CD7594}" name="Merch Item" dataDxfId="194">
      <calculatedColumnFormula>A42</calculatedColumnFormula>
    </tableColumn>
    <tableColumn id="2" xr3:uid="{D470385C-AF37-449A-AF0A-9E0D484B2323}" name="Target Cost" dataDxfId="192" totalsRowDxfId="193">
      <calculatedColumnFormula>B42</calculatedColumnFormula>
    </tableColumn>
    <tableColumn id="5" xr3:uid="{858539DD-A822-4647-80E6-D5F170559BDF}" name="Quanity"/>
    <tableColumn id="6" xr3:uid="{34117643-B8A2-4C25-9152-FAC5AB9F9160}" name="Total Cost" totalsRowFunction="custom" dataDxfId="190" totalsRowDxfId="191">
      <calculatedColumnFormula>PRODUCT(B50,C50)</calculatedColumnFormula>
      <totalsRowFormula>SUM(D50:D54)</totalsRowFormula>
    </tableColumn>
  </tableColumns>
  <tableStyleInfo name="TableStyleMedium18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54E8F59E-854F-4BD8-8207-C3FEC3A14FE6}" name="Table882629" displayName="Table882629" ref="A41:H46" totalsRowShown="0">
  <autoFilter ref="A41:H46" xr:uid="{54E8F59E-854F-4BD8-8207-C3FEC3A14FE6}"/>
  <tableColumns count="8">
    <tableColumn id="1" xr3:uid="{A01BD062-F733-4AE6-9D42-14B1EDDA06C7}" name="Merch Item"/>
    <tableColumn id="2" xr3:uid="{03D35DBE-5D30-49DC-8574-68AC9CDC61F6}" name="Target Cost" dataDxfId="189"/>
    <tableColumn id="3" xr3:uid="{D21E5214-2D8C-4E55-926C-D3C8ACD146D7}" name="Price" dataDxfId="188"/>
    <tableColumn id="4" xr3:uid="{598CB46F-FB5C-4A74-BB0A-19C314449E90}" name="Margin" dataDxfId="187">
      <calculatedColumnFormula>IFERROR(ROUND((C42-B42)/C42, 2), 0)</calculatedColumnFormula>
    </tableColumn>
    <tableColumn id="5" xr3:uid="{48BEA44E-0906-4ADC-9D8B-78B2D07E37A8}" name="Quanity"/>
    <tableColumn id="6" xr3:uid="{2781754B-3A92-441C-972A-A7AF3EDB05D2}" name="Total Cost" dataDxfId="186">
      <calculatedColumnFormula>PRODUCT(B42,E42)</calculatedColumnFormula>
    </tableColumn>
    <tableColumn id="7" xr3:uid="{25783B52-9C5E-4E31-B277-9C203606BDE6}" name="Total Value" dataDxfId="185">
      <calculatedColumnFormula>PRODUCT(C42,E42)</calculatedColumnFormula>
    </tableColumn>
    <tableColumn id="8" xr3:uid="{6A6E8467-F245-471A-87A9-AB8350CEB6B2}" name="Notes" dataDxfId="184"/>
  </tableColumns>
  <tableStyleInfo name="TableStyleMedium18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715D3286-6D50-44FF-8754-06EBDA1D074D}" name="Table42" displayName="Table42" ref="I14:I15" totalsRowShown="0" headerRowDxfId="183" dataDxfId="182">
  <autoFilter ref="I14:I15" xr:uid="{715D3286-6D50-44FF-8754-06EBDA1D074D}"/>
  <tableColumns count="1">
    <tableColumn id="1" xr3:uid="{A278E8A4-2A3C-4E66-A8F1-60453FEC0651}" name="Shipping   " dataDxfId="181">
      <calculatedColumnFormula>AVERAGE(C5:C7) * 0.1 + 2 + 8.26</calculatedColumnFormula>
    </tableColumn>
  </tableColumns>
  <tableStyleInfo name="TableStyleMedium18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C243187A-6B9B-4F3D-82EF-6236ECE0F75E}" name="Table29" displayName="Table29" ref="A3:G7" totalsRowShown="0" headerRowDxfId="180">
  <autoFilter ref="A3:G7" xr:uid="{C243187A-6B9B-4F3D-82EF-6236ECE0F75E}"/>
  <sortState xmlns:xlrd2="http://schemas.microsoft.com/office/spreadsheetml/2017/richdata2" ref="A4:G7">
    <sortCondition descending="1" ref="B3:B7"/>
  </sortState>
  <tableColumns count="7">
    <tableColumn id="1" xr3:uid="{1648A0F8-84AF-467D-8AFD-D30CDE182FF0}" name="Name" dataDxfId="179"/>
    <tableColumn id="2" xr3:uid="{82E07B5E-F410-4554-AEC2-7098238A1B74}" name="Price per 200" dataDxfId="178"/>
    <tableColumn id="3" xr3:uid="{CA8632FB-3369-47CA-9A39-54DA7B23C3B5}" name="Material" dataDxfId="177"/>
    <tableColumn id="4" xr3:uid="{B23B61D6-17EE-4E24-903A-03E33887EB11}" name="Country of Origin" dataDxfId="176"/>
    <tableColumn id="5" xr3:uid="{5D8A759C-0F21-4A33-98F4-53918993B5E3}" name="Supplier" dataDxfId="175"/>
    <tableColumn id="6" xr3:uid="{C3288B2C-6AA3-4F1D-8D86-FA820C9C68D7}" name="Notes"/>
    <tableColumn id="12" xr3:uid="{2ABF536D-7E02-4D2E-8439-222B2917F642}" name="Link"/>
  </tableColumns>
  <tableStyleInfo name="TableStyleMedium18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2050FFDD-0336-4F17-A6D5-38687E675685}" name="Table2931" displayName="Table2931" ref="A10:G16" totalsRowShown="0" headerRowDxfId="174">
  <autoFilter ref="A10:G16" xr:uid="{2050FFDD-0336-4F17-A6D5-38687E675685}"/>
  <sortState xmlns:xlrd2="http://schemas.microsoft.com/office/spreadsheetml/2017/richdata2" ref="A11:G16">
    <sortCondition descending="1" ref="B10:B16"/>
  </sortState>
  <tableColumns count="7">
    <tableColumn id="1" xr3:uid="{3533C127-EAC5-42E1-A4D9-26303222D721}" name="Name" dataDxfId="173"/>
    <tableColumn id="2" xr3:uid="{C8180398-A879-4082-A204-5EC6146C350C}" name="Price per 200" dataDxfId="172"/>
    <tableColumn id="3" xr3:uid="{E4708DF0-22A3-4395-B4F1-B6B95D9AD1DF}" name="Material" dataDxfId="171"/>
    <tableColumn id="4" xr3:uid="{8715DFD4-8FA2-4F7C-B3D9-EC0A7DF7EE74}" name="Country of Origin" dataDxfId="170"/>
    <tableColumn id="5" xr3:uid="{DD89E40D-1D3E-434A-AD1A-B96F231E7C4A}" name="Supplier" dataDxfId="169"/>
    <tableColumn id="6" xr3:uid="{0ED8494A-7F01-4369-BC11-897A7C1CA31B}" name="Notes"/>
    <tableColumn id="12" xr3:uid="{09F9E3D6-548D-4B09-BF4B-9E0AB77B6939}" name="Link"/>
  </tableColumns>
  <tableStyleInfo name="TableStyleMedium18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C1322FC0-A648-42A7-B0DC-838BE37F0AB6}" name="Table31" displayName="Table31" ref="A20:G22" totalsRowShown="0" headerRowDxfId="168" dataDxfId="167">
  <autoFilter ref="A20:G22" xr:uid="{C1322FC0-A648-42A7-B0DC-838BE37F0AB6}"/>
  <sortState xmlns:xlrd2="http://schemas.microsoft.com/office/spreadsheetml/2017/richdata2" ref="A21:G22">
    <sortCondition descending="1" ref="B20:B22"/>
  </sortState>
  <tableColumns count="7">
    <tableColumn id="1" xr3:uid="{540F5352-BD0A-4AF8-8BDD-B1B0E537BC8F}" name="Name" dataDxfId="166"/>
    <tableColumn id="2" xr3:uid="{0336F5F8-5F7E-4D4A-9F66-DEBEA3576587}" name="Price per 150" dataDxfId="165"/>
    <tableColumn id="3" xr3:uid="{BE6C8595-EBE4-4371-BFF1-4F6C528E536C}" name="Material" dataDxfId="164"/>
    <tableColumn id="4" xr3:uid="{2501CBB0-E463-4A4F-B096-F60E2C8BB4D2}" name="Country" dataDxfId="163"/>
    <tableColumn id="5" xr3:uid="{8346D6A3-C1A1-43EC-860C-56EB11CAB171}" name="Supplier" dataDxfId="162"/>
    <tableColumn id="6" xr3:uid="{524FF841-4D9A-4DB0-9006-2F790B4EFF93}" name="Notes" dataDxfId="161"/>
    <tableColumn id="7" xr3:uid="{D714B13C-0EC8-4801-A2C6-38DC0856EC7F}" name="Link" dataDxfId="160"/>
  </tableColumns>
  <tableStyleInfo name="TableStyleMedium18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47702B8E-D81F-4AC0-99F6-798F2FDCE426}" name="Table9" displayName="Table9" ref="A11:G17" totalsRowShown="0" headerRowDxfId="157" dataDxfId="156">
  <autoFilter ref="A11:G17" xr:uid="{47702B8E-D81F-4AC0-99F6-798F2FDCE426}"/>
  <tableColumns count="7">
    <tableColumn id="1" xr3:uid="{2775C176-7CC4-44B0-8369-6AAFCE4EAADA}" name="6-Month Forecast" dataDxfId="155"/>
    <tableColumn id="2" xr3:uid="{1E71A1A8-F6D9-4CC3-BE2D-CCF9A536B423}" name="Web Traffic" dataDxfId="154"/>
    <tableColumn id="3" xr3:uid="{51B6F35A-E771-443F-BEED-8B65215695DE}" name="CVR" dataDxfId="153"/>
    <tableColumn id="4" xr3:uid="{61F46054-FD26-4FC5-AFB8-4A31D68A1E47}" name="Est Sales (units)" dataDxfId="152">
      <calculatedColumnFormula>ROUND(PRODUCT(B12:C12),0)</calculatedColumnFormula>
    </tableColumn>
    <tableColumn id="5" xr3:uid="{8A6ACCA2-E927-4BFE-8350-79085A4EE599}" name="AOV" dataDxfId="151"/>
    <tableColumn id="6" xr3:uid="{F749F5CA-8B67-45D4-9DC7-91C58B4FC8AB}" name="Est. Monthly Revenue" dataDxfId="150">
      <calculatedColumnFormula>PRODUCT(D12:E12)</calculatedColumnFormula>
    </tableColumn>
    <tableColumn id="7" xr3:uid="{7792BA24-513C-425B-9218-B6E2E37C1D83}" name="Running Total" dataDxfId="149">
      <calculatedColumnFormula>SUM(G11,F12)</calculatedColumnFormula>
    </tableColumn>
  </tableColumns>
  <tableStyleInfo name="TableStyleMedium18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3D668D64-4CB3-43DD-AC7A-2BFEB7CAD89E}" name="Table911" displayName="Table911" ref="A21:H27" totalsRowShown="0">
  <autoFilter ref="A21:H27" xr:uid="{3D668D64-4CB3-43DD-AC7A-2BFEB7CAD89E}"/>
  <tableColumns count="8">
    <tableColumn id="1" xr3:uid="{C0191C5B-2CFB-492E-B54B-82AE5611222A}" name="Performance T-shirt"/>
    <tableColumn id="2" xr3:uid="{42CFB21A-AEB6-4544-AABF-E8D15960EC1C}" name="Web Traffic" dataDxfId="148"/>
    <tableColumn id="3" xr3:uid="{3DF5DDA1-BC0A-48A6-98F4-630270AE42F1}" name="CVR" dataDxfId="147">
      <calculatedColumnFormula xml:space="preserve"> AVERAGE(C9:C14)/5</calculatedColumnFormula>
    </tableColumn>
    <tableColumn id="4" xr3:uid="{797F267C-853E-4973-9D83-74C9C9C7621A}" name="Est Sales (units)" dataDxfId="146">
      <calculatedColumnFormula>ROUND(PRODUCT(B22:C22),0)</calculatedColumnFormula>
    </tableColumn>
    <tableColumn id="5" xr3:uid="{E1515888-806C-4713-BCA9-ACD543B6F2EB}" name="AOV"/>
    <tableColumn id="6" xr3:uid="{016D1DB0-0AF7-4621-B8BF-7ADD92CAE4B4}" name="Est. Monthly Revenue" dataDxfId="145">
      <calculatedColumnFormula>PRODUCT(D22:E22)</calculatedColumnFormula>
    </tableColumn>
    <tableColumn id="7" xr3:uid="{B234BB6C-ED16-4010-ACC3-5ACA0471CDAB}" name="Running Total" dataDxfId="144">
      <calculatedColumnFormula>SUM(G21,F22)</calculatedColumnFormula>
    </tableColumn>
    <tableColumn id="9" xr3:uid="{4C46329E-903F-4A82-9AEC-718EF1557557}" name="EOM Stock (units)" dataDxfId="143"/>
  </tableColumns>
  <tableStyleInfo name="TableStyleMedium18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654C5DBA-9B27-43C6-AEB2-9C3668807645}" name="Table91112" displayName="Table91112" ref="A32:H38" totalsRowShown="0">
  <autoFilter ref="A32:H38" xr:uid="{654C5DBA-9B27-43C6-AEB2-9C3668807645}"/>
  <tableColumns count="8">
    <tableColumn id="1" xr3:uid="{72044884-AF6E-4C5C-9E95-D4B02DC39107}" name="Cotton T-shirt" dataDxfId="142"/>
    <tableColumn id="2" xr3:uid="{4AF3DBEF-4539-472C-9713-975A254D7FE3}" name="Web Traffic" dataDxfId="141"/>
    <tableColumn id="3" xr3:uid="{C764B78D-CA87-4F2D-9EDB-6095B15DB6A0}" name="CVR" dataDxfId="140"/>
    <tableColumn id="4" xr3:uid="{4977105E-BA5F-4EFC-A110-B4B471AF6000}" name="Est Sales (units)" dataDxfId="139">
      <calculatedColumnFormula>ROUND(PRODUCT(B33:C33),0)</calculatedColumnFormula>
    </tableColumn>
    <tableColumn id="5" xr3:uid="{D3296C60-5A9E-45B2-B319-36EAA9964BD7}" name="AOV" dataDxfId="138"/>
    <tableColumn id="6" xr3:uid="{2F36423C-5B43-4B3E-AEAD-F181E6573884}" name="Est. Monthly Revenue" dataDxfId="137">
      <calculatedColumnFormula>PRODUCT(D33:E33)</calculatedColumnFormula>
    </tableColumn>
    <tableColumn id="7" xr3:uid="{0C31FEAC-65FE-4893-994B-16306DCFB7D0}" name="Running Total" dataDxfId="136">
      <calculatedColumnFormula>SUM(G32,F33)</calculatedColumnFormula>
    </tableColumn>
    <tableColumn id="9" xr3:uid="{C3CFB9BF-A750-44A7-8E8B-101AF2C8D0B5}" name="EOM Stock (units)"/>
  </tableColumns>
  <tableStyleInfo name="TableStyleMedium18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1EB68551-F8BE-45AC-8E47-0A403C379A14}" name="Table9111213" displayName="Table9111213" ref="A43:H49" totalsRowShown="0">
  <autoFilter ref="A43:H49" xr:uid="{1EB68551-F8BE-45AC-8E47-0A403C379A14}"/>
  <tableColumns count="8">
    <tableColumn id="1" xr3:uid="{1C57907B-AF18-4628-A2B7-0CB3BF7EE5D0}" name="Hats"/>
    <tableColumn id="2" xr3:uid="{2A056F16-9CAF-442A-9E7D-8FC685A4C7BA}" name="Web Traffic" dataDxfId="135"/>
    <tableColumn id="3" xr3:uid="{0B1C68E5-DB7D-4B7D-BD7B-1705EF3BA595}" name="CVR" dataDxfId="134"/>
    <tableColumn id="4" xr3:uid="{A33297BD-4AF2-4E1A-BD2C-50780C82A7A3}" name="Est Sales (units)" dataDxfId="133">
      <calculatedColumnFormula>ROUND(PRODUCT(B44:C44),0)</calculatedColumnFormula>
    </tableColumn>
    <tableColumn id="5" xr3:uid="{4ED4EEFD-FCC0-4B22-8FB0-4B6B9171400B}" name="AOV"/>
    <tableColumn id="6" xr3:uid="{B3C30755-7BB6-4413-94F1-6F7DB3D8FD30}" name="Est. Monthly Revenue" dataDxfId="132">
      <calculatedColumnFormula>PRODUCT(D44:E44)</calculatedColumnFormula>
    </tableColumn>
    <tableColumn id="7" xr3:uid="{7CF7414F-0C2A-44FD-B869-FBE8B33156DB}" name="Running Total" dataDxfId="131">
      <calculatedColumnFormula>SUM(G43,F44)</calculatedColumnFormula>
    </tableColumn>
    <tableColumn id="9" xr3:uid="{3B5637FC-9F29-423A-B389-060567176C2E}" name="EOM Stock (units)" dataDxfId="130"/>
  </tableColumns>
  <tableStyleInfo name="TableStyleMedium18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62D5C5FF-2894-4AC7-B1C6-27D34C1C0A7F}" name="Table911121314" displayName="Table911121314" ref="A54:H60" totalsRowShown="0">
  <autoFilter ref="A54:H60" xr:uid="{62D5C5FF-2894-4AC7-B1C6-27D34C1C0A7F}"/>
  <tableColumns count="8">
    <tableColumn id="1" xr3:uid="{AB157526-28CC-4ACF-9605-399C27A0A9F9}" name="Shaker Bottle"/>
    <tableColumn id="2" xr3:uid="{F6A6EF52-8F36-4F51-936D-F41B0E74F95F}" name="Web Traffic" dataDxfId="129"/>
    <tableColumn id="3" xr3:uid="{BBD824F9-72E1-4BD3-90C5-2FD3D09744E4}" name="CVR" dataDxfId="128"/>
    <tableColumn id="4" xr3:uid="{C0F60C15-2641-4639-BD69-5918B6FC0086}" name="Est Sales (units)" dataDxfId="127">
      <calculatedColumnFormula>ROUND(PRODUCT(B55:C55),0)</calculatedColumnFormula>
    </tableColumn>
    <tableColumn id="5" xr3:uid="{AC5E7EDD-6C34-4EB4-9396-A1125B24BD00}" name="AOV"/>
    <tableColumn id="6" xr3:uid="{2BCF470E-9934-4740-B1A0-DFD75BC5AFD8}" name="Est. Monthly Revenue" dataDxfId="126">
      <calculatedColumnFormula>PRODUCT(D55:E55)</calculatedColumnFormula>
    </tableColumn>
    <tableColumn id="7" xr3:uid="{C4D57F85-C937-4F34-8D3F-EE4F1885B624}" name="Running Total" dataDxfId="125">
      <calculatedColumnFormula>SUM(G54,F55)</calculatedColumnFormula>
    </tableColumn>
    <tableColumn id="9" xr3:uid="{460B551A-7244-4867-96C1-E9CECEE9D529}" name="EOM Stock (units)">
      <calculatedColumnFormula>H54-D55</calculatedColumnFormula>
    </tableColumn>
  </tableColumns>
  <tableStyleInfo name="TableStyleMedium18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8D8BFE03-CD30-43F3-ACC7-9AF34F73351C}" name="Table91112131415" displayName="Table91112131415" ref="A65:H71" totalsRowShown="0">
  <autoFilter ref="A65:H71" xr:uid="{8D8BFE03-CD30-43F3-ACC7-9AF34F73351C}"/>
  <tableColumns count="8">
    <tableColumn id="1" xr3:uid="{FE24F91F-E73A-47BC-BE64-EAE4891734D8}" name="Stickers"/>
    <tableColumn id="2" xr3:uid="{D4C63F10-341E-4C24-9E7B-658DB6C8C6E5}" name="Web Traffic" dataDxfId="124"/>
    <tableColumn id="3" xr3:uid="{31158F8F-5DBF-40C9-A14E-B9CCA798A404}" name="CVR" dataDxfId="123"/>
    <tableColumn id="4" xr3:uid="{035ADB7B-47B5-4433-B727-FA0D38EBA034}" name="Est Sales (units)" dataDxfId="122">
      <calculatedColumnFormula>ROUND(PRODUCT(B66:C66),0)</calculatedColumnFormula>
    </tableColumn>
    <tableColumn id="5" xr3:uid="{9B90A14A-670B-456F-97FD-E512EFB9251C}" name="AOV"/>
    <tableColumn id="6" xr3:uid="{ACE4DDBB-1345-458F-94D1-7A4749153707}" name="Est. Monthly Revenue" dataDxfId="121">
      <calculatedColumnFormula>PRODUCT(D66:E66)</calculatedColumnFormula>
    </tableColumn>
    <tableColumn id="7" xr3:uid="{66DC306A-6CAC-4FC8-AF71-AD543ABB006C}" name="Running Total" dataDxfId="120">
      <calculatedColumnFormula>SUM(G65,F66)</calculatedColumnFormula>
    </tableColumn>
    <tableColumn id="9" xr3:uid="{40238F43-0906-444E-8C47-A49B0DB5A623}" name="EOM STOCK" dataDxfId="119"/>
  </tableColumns>
  <tableStyleInfo name="TableStyleMedium18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D76AC882-32CA-452F-96BB-83D40029C836}" name="Table91718" displayName="Table91718" ref="O23:W28" totalsRowShown="0">
  <autoFilter ref="O23:W28" xr:uid="{D76AC882-32CA-452F-96BB-83D40029C836}"/>
  <tableColumns count="9">
    <tableColumn id="1" xr3:uid="{B9F266B9-547A-49A8-9958-CFEE783B841B}" name="Size"/>
    <tableColumn id="2" xr3:uid="{E1F548C6-7251-45D3-A0A4-D7E93BE02B22}" name="M1" dataDxfId="118"/>
    <tableColumn id="3" xr3:uid="{DC46B598-0270-4431-8DE9-660AEB889960}" name="M2" dataDxfId="117"/>
    <tableColumn id="4" xr3:uid="{74971A4C-1217-4300-9FA6-7B3E00F0BDB4}" name="M3" dataDxfId="116"/>
    <tableColumn id="5" xr3:uid="{2A9680C4-AC57-4C07-9948-0DFE9FFF7E9A}" name="M4" dataDxfId="115"/>
    <tableColumn id="6" xr3:uid="{1000D9F0-9656-40EF-A6D1-70451B60E9F7}" name="M5" dataDxfId="114"/>
    <tableColumn id="7" xr3:uid="{241E01BE-2FFE-4239-9406-BEC32EB7CD05}" name="M6" dataDxfId="113"/>
    <tableColumn id="8" xr3:uid="{B04F28D5-74E2-45FD-BDFE-8A7D26B876FB}" name="units sold" dataDxfId="112">
      <calculatedColumnFormula>SUM(P24:U24)</calculatedColumnFormula>
    </tableColumn>
    <tableColumn id="9" xr3:uid="{335F0A22-3753-4E9D-8DBD-ECE229CDB06E}" name="Remaining Stock" dataDxfId="111">
      <calculatedColumnFormula>Q16 -V24</calculatedColumnFormula>
    </tableColumn>
  </tableColumns>
  <tableStyleInfo name="TableStyleMedium18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4F50B4E6-4513-47CF-81B8-39D007D43ABC}" name="Table9171820" displayName="Table9171820" ref="O33:W38" totalsRowShown="0">
  <autoFilter ref="O33:W38" xr:uid="{4F50B4E6-4513-47CF-81B8-39D007D43ABC}"/>
  <tableColumns count="9">
    <tableColumn id="1" xr3:uid="{1C7A21CA-C31F-43B6-9335-DB8792428E0E}" name="Size"/>
    <tableColumn id="2" xr3:uid="{211CC126-5FFE-4039-B544-36FD107C63D3}" name="M1" dataDxfId="110"/>
    <tableColumn id="3" xr3:uid="{745C4D6E-05BD-48EB-8150-BDA9133BE628}" name="M2" dataDxfId="109"/>
    <tableColumn id="4" xr3:uid="{DC61204E-D3DE-4C84-8C3A-87A8315758BA}" name="M3" dataDxfId="108"/>
    <tableColumn id="5" xr3:uid="{488FBC95-FDC7-4C37-81A1-9CA39DBD4F2D}" name="M4" dataDxfId="107"/>
    <tableColumn id="6" xr3:uid="{7478E2B4-AE09-483B-8AFC-C0E42574DD19}" name="M5" dataDxfId="106"/>
    <tableColumn id="7" xr3:uid="{1DD50595-5248-4A9D-B44E-18DC5B2208E8}" name="M6" dataDxfId="105"/>
    <tableColumn id="8" xr3:uid="{6BA4741D-DFB2-4EB2-AE37-FD7FE95A1D67}" name="units sold" dataDxfId="104">
      <calculatedColumnFormula xml:space="preserve"> SUM(P34:U34)</calculatedColumnFormula>
    </tableColumn>
    <tableColumn id="9" xr3:uid="{453D36EC-79DF-476B-87A4-18BA9C5A5409}" name="Remaining Stock" dataDxfId="103">
      <calculatedColumnFormula>R16 -V34</calculatedColumnFormula>
    </tableColumn>
  </tableColumns>
  <tableStyleInfo name="TableStyleMedium18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BEBDF7C1-805C-4B4C-BAEA-C8D62B986FD2}" name="Table821" displayName="Table821" ref="R3:U9" totalsRowCount="1" headerRowDxfId="102" dataDxfId="101" totalsRowDxfId="100">
  <autoFilter ref="R3:U8" xr:uid="{BEBDF7C1-805C-4B4C-BAEA-C8D62B986FD2}"/>
  <tableColumns count="4">
    <tableColumn id="1" xr3:uid="{C9945F63-3C9A-4A9B-BE36-CC2FF86B1BE2}" name="Merch Item" dataDxfId="98" totalsRowDxfId="99">
      <calculatedColumnFormula>A4</calculatedColumnFormula>
    </tableColumn>
    <tableColumn id="2" xr3:uid="{D9623F98-B182-4FF7-9E2A-2CC776ECAFE0}" name="Cost" dataDxfId="96" totalsRowDxfId="97">
      <calculatedColumnFormula>B4</calculatedColumnFormula>
    </tableColumn>
    <tableColumn id="5" xr3:uid="{BB20B1BC-5078-4C14-B32B-878677797FF9}" name="Quanity" totalsRowFunction="custom" dataDxfId="94" totalsRowDxfId="95">
      <totalsRowFormula>SUM(T4:T8)</totalsRowFormula>
    </tableColumn>
    <tableColumn id="6" xr3:uid="{BE09AF11-52D1-4C0F-B281-CD5215E8E1EE}" name="Total" totalsRowFunction="custom" dataDxfId="92" totalsRowDxfId="93">
      <calculatedColumnFormula>PRODUCT(S4,T4)</calculatedColumnFormula>
      <totalsRowFormula>SUM(U4:U8)</totalsRowFormula>
    </tableColumn>
  </tableColumns>
  <tableStyleInfo name="TableStyleMedium18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292DBFF8-2B27-4D29-BAEA-0BFDE56589E3}" name="Table8" displayName="Table8" ref="A3:G8" totalsRowShown="0" headerRowDxfId="91" dataDxfId="90">
  <autoFilter ref="A3:G8" xr:uid="{292DBFF8-2B27-4D29-BAEA-0BFDE56589E3}"/>
  <tableColumns count="7">
    <tableColumn id="1" xr3:uid="{C4530A6E-5BF6-4DC3-8D42-4B5E3FB31E55}" name="Merch Item" dataDxfId="89"/>
    <tableColumn id="2" xr3:uid="{D1F18E4D-7F97-473B-AF72-3DC3B040A6C9}" name="Cost" dataDxfId="88"/>
    <tableColumn id="3" xr3:uid="{B6017F49-5724-47C0-87B9-4CC572F1CD8E}" name="Price" dataDxfId="87"/>
    <tableColumn id="4" xr3:uid="{F70125EC-9EB0-4066-AECA-9A00CE145D47}" name="Margin" dataDxfId="86">
      <calculatedColumnFormula>IFERROR(ROUND((C4-B4)/C4, 2), 0)</calculatedColumnFormula>
    </tableColumn>
    <tableColumn id="5" xr3:uid="{E87976B7-5413-44D8-939D-E363474FB7A5}" name="Quanity" dataDxfId="85"/>
    <tableColumn id="6" xr3:uid="{60AD6663-3F77-4EFA-B3B0-E101417502CB}" name="Total Cost" dataDxfId="84">
      <calculatedColumnFormula>PRODUCT(B4,E4)</calculatedColumnFormula>
    </tableColumn>
    <tableColumn id="7" xr3:uid="{300326EF-B3CE-4CC5-8EFE-3C3887BBB03D}" name="Total Value" dataDxfId="83">
      <calculatedColumnFormula>PRODUCT(C4,E4)</calculatedColumnFormula>
    </tableColumn>
  </tableColumns>
  <tableStyleInfo name="TableStyleMedium18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" xr:uid="{DD0FC197-7CE4-4191-839D-AB91BA2F93AA}" name="Table45" displayName="Table45" ref="O3:P9" totalsRowShown="0" headerRowDxfId="82" dataDxfId="81">
  <autoFilter ref="O3:P9" xr:uid="{DD0FC197-7CE4-4191-839D-AB91BA2F93AA}"/>
  <tableColumns count="2">
    <tableColumn id="1" xr3:uid="{21F9FA39-141E-482F-AC6B-B9EA2A02D288}" name="Month" dataDxfId="80"/>
    <tableColumn id="2" xr3:uid="{4598D202-32A6-4359-91D2-A1C6219D3300}" name="Profit" dataDxfId="79">
      <calculatedColumnFormula>G12-J5</calculatedColumnFormula>
    </tableColumn>
  </tableColumns>
  <tableStyleInfo name="TableStyleMedium18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5C84CA7-5F41-452A-9DCC-13A260FBD9C1}" name="Table5" displayName="Table5" ref="S59:T64" totalsRowShown="0">
  <autoFilter ref="S59:T64" xr:uid="{05C84CA7-5F41-452A-9DCC-13A260FBD9C1}"/>
  <tableColumns count="2">
    <tableColumn id="1" xr3:uid="{E2AB8C56-D2CB-4F97-B21D-04C1F4B799D6}" name="Column1"/>
    <tableColumn id="2" xr3:uid="{78A6FE54-C6DD-44A2-A81D-15073D064319}" name="Column2" dataDxfId="78">
      <calculatedColumnFormula>F4+U4</calculatedColumnFormula>
    </tableColumn>
  </tableColumns>
  <tableStyleInfo name="TableStyleMedium19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634D6446-E3A0-47CD-9014-42BB6A32DB97}" name="Table15" displayName="Table15" ref="O58:Q64" totalsRowShown="0">
  <autoFilter ref="O58:Q64" xr:uid="{634D6446-E3A0-47CD-9014-42BB6A32DB97}"/>
  <tableColumns count="3">
    <tableColumn id="1" xr3:uid="{F0A7ACF4-6B7E-4BD5-92F9-022EEE01FA0E}" name="Daily Sales"/>
    <tableColumn id="2" xr3:uid="{4A3BC413-05EC-41CD-BEEC-2D4C55D00F85}" name=" Sales">
      <calculatedColumnFormula>ROUND(D12/31, 1)</calculatedColumnFormula>
    </tableColumn>
    <tableColumn id="3" xr3:uid="{37CC5209-706B-401F-A04E-2FEB5744F045}" name="Revenue" dataDxfId="77">
      <calculatedColumnFormula>P59*E22</calculatedColumnFormula>
    </tableColumn>
  </tableColumns>
  <tableStyleInfo name="TableStyleMedium18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BAD64EA-DF3E-49DD-857D-29F695CDDE94}" name="Table1" displayName="Table1" ref="A1:A1048576" totalsRowShown="0" headerRowDxfId="76" dataDxfId="75" headerRowCellStyle="Normal">
  <autoFilter ref="A1:A1048576" xr:uid="{8BAD64EA-DF3E-49DD-857D-29F695CDDE94}"/>
  <tableColumns count="1">
    <tableColumn id="1" xr3:uid="{AA9684E2-9B80-43FA-A3B8-36E9F1A26785}" name="Brand" dataDxfId="74"/>
  </tableColumns>
  <tableStyleInfo name="TableStyleLight1"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AE75A27-C37E-4D75-BAD1-488ED53C710F}" name="Table2" displayName="Table2" ref="B1:T74" totalsRowShown="0">
  <autoFilter ref="B1:T74" xr:uid="{5AE75A27-C37E-4D75-BAD1-488ED53C710F}"/>
  <tableColumns count="19">
    <tableColumn id="1" xr3:uid="{420589A2-4F03-4555-8EB1-6850F31AC8F5}" name="Product"/>
    <tableColumn id="2" xr3:uid="{460CBC50-D01E-43B1-8750-CD1CB949A791}" name="Price"/>
    <tableColumn id="20" xr3:uid="{B09380F3-BC13-489A-B4EA-27AB810533F6}" name="Estimated Shipping"/>
    <tableColumn id="3" xr3:uid="{42F8CD2C-53C4-4ADE-953B-E449088C113D}" name="Material"/>
    <tableColumn id="4" xr3:uid="{DF2650EC-6CC7-44DF-B828-D6A2EA275C81}" name="Review"/>
    <tableColumn id="15" xr3:uid="{421123BA-62E4-40C1-BFB3-951C0DDD8298}" name="Number of Reviews"/>
    <tableColumn id="5" xr3:uid="{FF25B82D-B708-46F7-91D4-C662BB6E70C3}" name="Color Options"/>
    <tableColumn id="13" xr3:uid="{1DF0ECC4-DB75-4C43-8CE8-582674169445}" name="Best Sellers"/>
    <tableColumn id="19" xr3:uid="{868B7C5C-DAD2-4041-AEA6-8E771BF8BF46}" name="Print Method" dataDxfId="73"/>
    <tableColumn id="6" xr3:uid="{473A344C-F7F1-48FD-AA47-B9FDF85300C2}" name="Sizes"/>
    <tableColumn id="7" xr3:uid="{863D0DF3-6621-4E88-9F91-4FD80C5F14C9}" name="Link"/>
    <tableColumn id="14" xr3:uid="{AE967953-F9D0-4730-B20D-4654DD583A41}" name="Notes"/>
    <tableColumn id="16" xr3:uid="{F8F77341-9724-4A77-84C7-08EA3ACD0C58}" name="Complaint/Praise"/>
    <tableColumn id="17" xr3:uid="{AD8D6AFE-C176-46A9-81D6-5EC84A8C118B}" name="Is it cool?"/>
    <tableColumn id="8" xr3:uid="{17F16FE4-BA62-4B7C-96F9-203644C1705A}" name="DTC vs POD"/>
    <tableColumn id="9" xr3:uid="{B1074D6F-07AD-413A-92C1-119F2E8F17A8}" name="Blanks Used"/>
    <tableColumn id="12" xr3:uid="{B44A1DB0-6D9E-4FD3-976D-B4676059F850}" name="Manufacturer"/>
    <tableColumn id="10" xr3:uid="{305D7131-FFA7-4AF9-8BC7-6C14B7F87391}" name="Delivery Time"/>
    <tableColumn id="11" xr3:uid="{BF88D4E8-B799-4707-B1E1-A27620465819}" name="COO"/>
  </tableColumns>
  <tableStyleInfo name="TableStyleMedium18"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B67AB288-9BCE-4267-B722-CB66A549DBAA}" name="Table3" displayName="Table3" ref="A1:O62" totalsRowShown="0" headerRowDxfId="72" headerRowBorderDxfId="70" tableBorderDxfId="71">
  <autoFilter ref="A1:O62" xr:uid="{B67AB288-9BCE-4267-B722-CB66A549DBAA}"/>
  <tableColumns count="15">
    <tableColumn id="1" xr3:uid="{3C8AD84E-98F0-4BFA-86AE-F120123772FA}" name="Brand" dataDxfId="69"/>
    <tableColumn id="2" xr3:uid="{A09BCDD6-508F-443F-AF50-639F76FD9333}" name="Product"/>
    <tableColumn id="3" xr3:uid="{AD859879-AC52-4722-BDB1-46C88B6A723C}" name="Price"/>
    <tableColumn id="4" xr3:uid="{BB5A5B3C-1D54-4F8D-B1E6-5AEE6EEEDAD4}" name="Shipping"/>
    <tableColumn id="14" xr3:uid="{77FBC903-7825-4D36-97E0-BF922776A524}" name="Style"/>
    <tableColumn id="16" xr3:uid="{E9812974-B0A2-424F-A25A-B4A6419594E9}" name="Closure" dataDxfId="68"/>
    <tableColumn id="5" xr3:uid="{C98510C3-E2C5-462E-9C37-326A879F4BEF}" name="Material"/>
    <tableColumn id="6" xr3:uid="{428B8EB3-B1DE-4E6C-A997-1D336E966F15}" name="Reviews"/>
    <tableColumn id="7" xr3:uid="{998158E9-1F61-4AF9-813B-E94E8540AD8B}" name="Num of Review"/>
    <tableColumn id="8" xr3:uid="{B30C52D7-02F4-4FA6-AED0-BB01AF09FBE6}" name="Color Options"/>
    <tableColumn id="9" xr3:uid="{9677BBE1-30C2-4007-B83F-B27471FF7BBF}" name="Link"/>
    <tableColumn id="10" xr3:uid="{C79C5370-A852-44BC-80F6-15227776A57C}" name="Notes" dataDxfId="67"/>
    <tableColumn id="11" xr3:uid="{78AC6CD7-6BA0-486D-87EB-9A31A67C30FD}" name="Is it Cool?"/>
    <tableColumn id="12" xr3:uid="{60C810FE-9256-4CF5-96A3-F125B2AA5433}" name="Manufacturer"/>
    <tableColumn id="13" xr3:uid="{6B25F54D-A34D-4E96-BB38-211136FF602E}" name="COO" dataDxfId="66"/>
  </tableColumns>
  <tableStyleInfo name="TableStyleMedium18"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5166DC56-630B-4721-8B11-834DF819E616}" name="Table917" displayName="Table917" ref="A11:G17" totalsRowShown="0">
  <autoFilter ref="A11:G17" xr:uid="{47702B8E-D81F-4AC0-99F6-798F2FDCE426}"/>
  <tableColumns count="7">
    <tableColumn id="1" xr3:uid="{782E44A7-EA93-4CBF-A76F-360006AFEF89}" name="6-Month Forecast"/>
    <tableColumn id="2" xr3:uid="{A3B09828-1947-4473-8986-24CC90EA364B}" name="Web Traffic" dataDxfId="63"/>
    <tableColumn id="3" xr3:uid="{2B5F4D55-8821-4203-BEF2-3B4E2DDAE136}" name="CVR" dataDxfId="62"/>
    <tableColumn id="4" xr3:uid="{4CC89C20-A35C-41D9-B44C-DE12F3B6B949}" name="Est Sales (units)" dataDxfId="61">
      <calculatedColumnFormula>ROUND(PRODUCT(B12:C12),0)</calculatedColumnFormula>
    </tableColumn>
    <tableColumn id="5" xr3:uid="{C5553435-988F-495C-9BB7-5D3B409860F6}" name="AOV"/>
    <tableColumn id="6" xr3:uid="{0459BB21-E34B-4816-A6AA-78A9D0A239C5}" name="Est. Monthly Revenue" dataDxfId="60">
      <calculatedColumnFormula>PRODUCT(D12:E12)</calculatedColumnFormula>
    </tableColumn>
    <tableColumn id="7" xr3:uid="{B318A0F6-A62F-4A5A-8029-B38A834DE2DF}" name="Running Total" dataDxfId="59">
      <calculatedColumnFormula>SUM(G11,F12)</calculatedColumnFormula>
    </tableColumn>
  </tableColumns>
  <tableStyleInfo name="TableStyleMedium18"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D7313B9-B68A-464F-BE4F-DBD4EBDF86C8}" name="Table91119" displayName="Table91119" ref="A21:H27" totalsRowShown="0">
  <autoFilter ref="A21:H27" xr:uid="{3D668D64-4CB3-43DD-AC7A-2BFEB7CAD89E}"/>
  <tableColumns count="8">
    <tableColumn id="1" xr3:uid="{EB6B269F-79BA-4265-934B-25A41A657C23}" name="Cropped T-shirt"/>
    <tableColumn id="2" xr3:uid="{601257FE-BEB1-41F8-A5AB-554449A0DCF4}" name="Web Traffic" dataDxfId="58"/>
    <tableColumn id="3" xr3:uid="{DC274BD5-0EBE-4FD1-A6C7-6D6B96DF89CE}" name="CVR" dataDxfId="57">
      <calculatedColumnFormula xml:space="preserve"> AVERAGE(C9:C14)/5</calculatedColumnFormula>
    </tableColumn>
    <tableColumn id="4" xr3:uid="{585F5D73-2718-4F3E-BE2A-515A0DB5A9A2}" name="Est Sales (units)" dataDxfId="56">
      <calculatedColumnFormula>ROUND(PRODUCT(B22:C22),0)</calculatedColumnFormula>
    </tableColumn>
    <tableColumn id="5" xr3:uid="{EF3B8DBA-BB4D-4B69-B068-A24CF5DBBA64}" name="AOV"/>
    <tableColumn id="6" xr3:uid="{BE643868-2342-4AE2-8FE3-6F0A30A63C6C}" name="Est. Monthly Revenue" dataDxfId="55">
      <calculatedColumnFormula>PRODUCT(D22:E22)</calculatedColumnFormula>
    </tableColumn>
    <tableColumn id="7" xr3:uid="{218AE017-B575-479C-B5E0-721CAF6A2440}" name="Running Total" dataDxfId="54">
      <calculatedColumnFormula>SUM(G21,F22)</calculatedColumnFormula>
    </tableColumn>
    <tableColumn id="9" xr3:uid="{2FCB3D0D-931C-4E44-929F-3B39E2704961}" name="EOM Stock (units)" dataDxfId="53"/>
  </tableColumns>
  <tableStyleInfo name="TableStyleMedium18"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63616FE4-6D64-4375-BFFC-A992A388239B}" name="Table9111222" displayName="Table9111222" ref="A32:H38" totalsRowShown="0">
  <autoFilter ref="A32:H38" xr:uid="{654C5DBA-9B27-43C6-AEB2-9C3668807645}"/>
  <tableColumns count="8">
    <tableColumn id="1" xr3:uid="{0932823F-AD90-4750-9B53-E3D6B563764E}" name="Long Sleeve T-shirt" dataDxfId="52"/>
    <tableColumn id="2" xr3:uid="{4AF2F7E9-2280-4A05-8B31-223F330398C3}" name="Web Traffic" dataDxfId="51"/>
    <tableColumn id="3" xr3:uid="{4FB2CB52-DFEF-40CD-B539-86DB3DC3FB5D}" name="CVR" dataDxfId="50"/>
    <tableColumn id="4" xr3:uid="{27674244-DF71-4F99-B8BF-893773FA2667}" name="Est Sales (units)" dataDxfId="49">
      <calculatedColumnFormula>ROUND(PRODUCT(B33:C33),0)</calculatedColumnFormula>
    </tableColumn>
    <tableColumn id="5" xr3:uid="{D0278F26-A646-4315-A876-D78A02D7B07D}" name="AOV" dataDxfId="48"/>
    <tableColumn id="6" xr3:uid="{6A1E3F64-15AE-4A1F-94F6-F4A3C8163297}" name="Est. Monthly Revenue" dataDxfId="47">
      <calculatedColumnFormula>PRODUCT(D33:E33)</calculatedColumnFormula>
    </tableColumn>
    <tableColumn id="7" xr3:uid="{582A0F25-AC5B-428E-B284-76F13BF76CE7}" name="Running Total" dataDxfId="46">
      <calculatedColumnFormula>SUM(G32,F33)</calculatedColumnFormula>
    </tableColumn>
    <tableColumn id="9" xr3:uid="{A6DD0F12-8A28-45CF-B504-D0004D40756C}" name="EOM Stock (units)"/>
  </tableColumns>
  <tableStyleInfo name="TableStyleMedium18" showFirstColumn="0" showLastColumn="0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82640832-E4A5-4F56-BFA9-DB1CB653DE35}" name="Table911121323" displayName="Table911121323" ref="A43:H49" totalsRowShown="0">
  <autoFilter ref="A43:H49" xr:uid="{1EB68551-F8BE-45AC-8E47-0A403C379A14}"/>
  <tableColumns count="8">
    <tableColumn id="1" xr3:uid="{EB5D1B58-1C84-4AE7-9C59-548DB1337278}" name="Trucker Hat"/>
    <tableColumn id="2" xr3:uid="{2AC92CF1-E999-420B-86D6-4B921C47ECFF}" name="Web Traffic" dataDxfId="45"/>
    <tableColumn id="3" xr3:uid="{B9ACA2B9-A618-4B3E-AD14-879862D2C018}" name="CVR" dataDxfId="44"/>
    <tableColumn id="4" xr3:uid="{11EF41A3-E01A-4700-BC69-629F9253C214}" name="Est Sales (units)" dataDxfId="43">
      <calculatedColumnFormula>ROUND(PRODUCT(B44:C44),0)</calculatedColumnFormula>
    </tableColumn>
    <tableColumn id="5" xr3:uid="{A85F0BB5-905D-4871-916D-997DF3A5D796}" name="AOV"/>
    <tableColumn id="6" xr3:uid="{6D02B3B6-C5B0-4D3E-A862-F3D40FA1F774}" name="Est. Monthly Revenue" dataDxfId="42">
      <calculatedColumnFormula>PRODUCT(D44:E44)</calculatedColumnFormula>
    </tableColumn>
    <tableColumn id="7" xr3:uid="{A1583663-3274-4B95-849D-E62D68AE6E3D}" name="Running Total" dataDxfId="41">
      <calculatedColumnFormula>SUM(G43,F44)</calculatedColumnFormula>
    </tableColumn>
    <tableColumn id="9" xr3:uid="{E7D9455F-A463-4A5A-92F0-131F8709D4E1}" name="EOM Stock (units)" dataDxfId="40"/>
  </tableColumns>
  <tableStyleInfo name="TableStyleMedium18" showFirstColumn="0" showLastColumn="0" showRowStripes="1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7442B9FF-C72E-462A-940F-B6D4B9ACFFC8}" name="Table91112131424" displayName="Table91112131424" ref="A54:H60" totalsRowShown="0">
  <autoFilter ref="A54:H60" xr:uid="{62D5C5FF-2894-4AC7-B1C6-27D34C1C0A7F}"/>
  <tableColumns count="8">
    <tableColumn id="1" xr3:uid="{9B86BF8A-87BC-46AF-978F-5414ED0F6D4A}" name="Toiletry Bag"/>
    <tableColumn id="2" xr3:uid="{45851C4B-34AB-45D5-9B08-0E01B324FE1E}" name="Web Traffic" dataDxfId="39"/>
    <tableColumn id="3" xr3:uid="{769BFD4D-E1AF-43CF-86C9-AD04658C3D47}" name="CVR" dataDxfId="38"/>
    <tableColumn id="4" xr3:uid="{21FA4CBC-557B-4967-BE55-60C441226146}" name="Est Sales (units)" dataDxfId="37">
      <calculatedColumnFormula>ROUND(PRODUCT(B55:C55),0)</calculatedColumnFormula>
    </tableColumn>
    <tableColumn id="5" xr3:uid="{2761A7A3-14E8-4501-BF63-F5880C2B1D8F}" name="AOV"/>
    <tableColumn id="6" xr3:uid="{407EE092-355D-4969-B9DB-32BFC2BF374D}" name="Est. Monthly Revenue" dataDxfId="36">
      <calculatedColumnFormula>PRODUCT(D55:E55)</calculatedColumnFormula>
    </tableColumn>
    <tableColumn id="7" xr3:uid="{1F06DEB5-D131-4981-9A2C-98608616ED4F}" name="Running Total" dataDxfId="35">
      <calculatedColumnFormula>SUM(G54,F55)</calculatedColumnFormula>
    </tableColumn>
    <tableColumn id="9" xr3:uid="{7E0860C6-18B5-41D8-8C30-8EB27F823EC0}" name="EOM Stock (units)">
      <calculatedColumnFormula>H54-D55</calculatedColumnFormula>
    </tableColumn>
  </tableColumns>
  <tableStyleInfo name="TableStyleMedium18" showFirstColumn="0" showLastColumn="0" showRowStripes="1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A6EDE614-E820-4496-84F4-8FF8AD3CA72B}" name="Table9111213141527" displayName="Table9111213141527" ref="A65:H71" totalsRowShown="0">
  <autoFilter ref="A65:H71" xr:uid="{8D8BFE03-CD30-43F3-ACC7-9AF34F73351C}"/>
  <tableColumns count="8">
    <tableColumn id="1" xr3:uid="{F124453B-2288-41BE-8C99-302F788CF8C5}" name="Tote Bag"/>
    <tableColumn id="2" xr3:uid="{AD05D5B3-6B5F-4919-A6E4-57984E7E32FD}" name="Web Traffic" dataDxfId="34"/>
    <tableColumn id="3" xr3:uid="{B35210C0-F270-412B-8EA0-976FB2254F7B}" name="CVR" dataDxfId="33"/>
    <tableColumn id="4" xr3:uid="{B95F8E06-A762-4283-A756-B3B3F287D016}" name="Est Sales (units)" dataDxfId="32">
      <calculatedColumnFormula>ROUND(PRODUCT(B66:C66),0)</calculatedColumnFormula>
    </tableColumn>
    <tableColumn id="5" xr3:uid="{C96F14FE-0C2E-4AF5-9395-7E08AD19A873}" name="AOV"/>
    <tableColumn id="6" xr3:uid="{E049C09A-99AC-4442-8B13-3226952C444F}" name="Est. Monthly Revenue" dataDxfId="31">
      <calculatedColumnFormula>PRODUCT(D66:E66)</calculatedColumnFormula>
    </tableColumn>
    <tableColumn id="7" xr3:uid="{9B84F5F8-2A79-4CD2-AAC4-47612B7EF9C2}" name="Running Total" dataDxfId="30">
      <calculatedColumnFormula>SUM(G65,F66)</calculatedColumnFormula>
    </tableColumn>
    <tableColumn id="9" xr3:uid="{0AD4C015-AD03-4F00-A64E-9F0631730DCA}" name="EOM STOCK" dataDxfId="29"/>
  </tableColumns>
  <tableStyleInfo name="TableStyleMedium18" showFirstColumn="0" showLastColumn="0" showRowStripes="1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64452392-574B-4E83-B7C3-BEDF7FE0F0FD}" name="Table9171833" displayName="Table9171833" ref="O22:W27" totalsRowShown="0">
  <autoFilter ref="O22:W27" xr:uid="{D76AC882-32CA-452F-96BB-83D40029C836}"/>
  <tableColumns count="9">
    <tableColumn id="1" xr3:uid="{1EEA6C4C-1001-4D22-A6B0-207D8B96AAD6}" name="Size"/>
    <tableColumn id="2" xr3:uid="{19047593-37F0-490D-89F5-BDFD233A5674}" name="M1" dataDxfId="28"/>
    <tableColumn id="3" xr3:uid="{A75B641C-4D20-4D31-A836-BA6DA1792A0A}" name="M2" dataDxfId="27"/>
    <tableColumn id="4" xr3:uid="{5A34A276-A4FD-4267-ABEA-CD20F1DBB21D}" name="M3" dataDxfId="26"/>
    <tableColumn id="5" xr3:uid="{26F0CDA8-A743-41CC-AE8E-4FA889244E1A}" name="M4" dataDxfId="25"/>
    <tableColumn id="6" xr3:uid="{7568F74C-8731-4D68-BB23-7BD0E5ECFB2B}" name="M5" dataDxfId="24"/>
    <tableColumn id="7" xr3:uid="{7D38DF8A-60B6-44AE-B7D4-77FB9BCF933B}" name="M6" dataDxfId="23"/>
    <tableColumn id="8" xr3:uid="{A084CB71-A11E-4703-ACF9-4D06F39FEB07}" name="units sold" dataDxfId="22">
      <calculatedColumnFormula>SUM(P23:U23)</calculatedColumnFormula>
    </tableColumn>
    <tableColumn id="9" xr3:uid="{65C4AF9A-0F28-4127-A5B3-3B094ABF0076}" name="Remaining Stock" dataDxfId="21">
      <calculatedColumnFormula>Q15 -V23</calculatedColumnFormula>
    </tableColumn>
  </tableColumns>
  <tableStyleInfo name="TableStyleMedium18" showFirstColumn="0" showLastColumn="0" showRowStripes="1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A68D9493-00F3-4972-8658-A86A21FAA71A}" name="Table917182034" displayName="Table917182034" ref="O32:W37" totalsRowShown="0">
  <autoFilter ref="O32:W37" xr:uid="{4F50B4E6-4513-47CF-81B8-39D007D43ABC}"/>
  <tableColumns count="9">
    <tableColumn id="1" xr3:uid="{69FA0F09-A97F-4F9B-8D39-B128ED4D0CD8}" name="Size"/>
    <tableColumn id="2" xr3:uid="{CBA3267C-A55F-47C3-BBE6-D3C6A3F46EAF}" name="M1" dataDxfId="20"/>
    <tableColumn id="3" xr3:uid="{B65CDEB5-C736-4F4C-9C19-87411CF7C694}" name="M2" dataDxfId="19"/>
    <tableColumn id="4" xr3:uid="{A8A61344-8B23-4FAC-95CA-CE9C350E638A}" name="M3" dataDxfId="18"/>
    <tableColumn id="5" xr3:uid="{EE548A92-FF0B-445D-9B27-AD452C53283A}" name="M4" dataDxfId="17"/>
    <tableColumn id="6" xr3:uid="{674A4CEA-60F3-4307-8A4B-2F6FEF16EDAB}" name="M5" dataDxfId="16"/>
    <tableColumn id="7" xr3:uid="{63870199-7B0D-415A-9044-8395D913F69A}" name="M6" dataDxfId="15"/>
    <tableColumn id="8" xr3:uid="{B6FAE005-06CB-4BF0-A1C3-526EA7674A6F}" name="units sold" dataDxfId="14">
      <calculatedColumnFormula xml:space="preserve"> SUM(P33:U33)</calculatedColumnFormula>
    </tableColumn>
    <tableColumn id="9" xr3:uid="{2EA08351-AD12-4372-8F03-DC45E279078D}" name="Remaining Stock" dataDxfId="13">
      <calculatedColumnFormula>R15 -V33</calculatedColumnFormula>
    </tableColumn>
  </tableColumns>
  <tableStyleInfo name="TableStyleMedium18" showFirstColumn="0" showLastColumn="0" showRowStripes="1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66B4000F-6642-4DF5-BF9D-B528CDED6581}" name="Table82135" displayName="Table82135" ref="R3:U9" totalsRowCount="1">
  <autoFilter ref="R3:U8" xr:uid="{BEBDF7C1-805C-4B4C-BAEA-C8D62B986FD2}"/>
  <tableColumns count="4">
    <tableColumn id="1" xr3:uid="{002980BF-8445-4E11-88CE-E58DDF363573}" name="Merch Item" dataDxfId="12">
      <calculatedColumnFormula>A4</calculatedColumnFormula>
    </tableColumn>
    <tableColumn id="2" xr3:uid="{8561F49F-F916-4179-BF0B-0647F7A5E160}" name="Target Cost" dataDxfId="10" totalsRowDxfId="11">
      <calculatedColumnFormula>B4</calculatedColumnFormula>
    </tableColumn>
    <tableColumn id="5" xr3:uid="{BF2079F6-F461-4A11-8FD8-C1DD8DE1C2C9}" name="Quanity"/>
    <tableColumn id="6" xr3:uid="{2E2D843A-599C-4B50-89E1-D64F8781AB70}" name="Total Cost" totalsRowFunction="custom" dataDxfId="8" totalsRowDxfId="9">
      <calculatedColumnFormula>PRODUCT(S4,T4)</calculatedColumnFormula>
      <totalsRowFormula>SUM(U4:U8)</totalsRowFormula>
    </tableColumn>
  </tableColumns>
  <tableStyleInfo name="TableStyleMedium18" showFirstColumn="0" showLastColumn="0" showRowStripes="1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9C6DE6E1-F90E-4480-9C02-EA574AB45D51}" name="Table836" displayName="Table836" ref="A3:G8" totalsRowShown="0">
  <autoFilter ref="A3:G8" xr:uid="{292DBFF8-2B27-4D29-BAEA-0BFDE56589E3}"/>
  <tableColumns count="7">
    <tableColumn id="1" xr3:uid="{3F82AA5A-A598-43EA-A4ED-EC9F8A08988A}" name="Merch Item"/>
    <tableColumn id="2" xr3:uid="{02393232-A418-4788-A87C-516BDA4C29B0}" name="Target Cost" dataDxfId="7"/>
    <tableColumn id="3" xr3:uid="{34C99066-3323-465D-8FFD-647C23722683}" name="Price" dataDxfId="6"/>
    <tableColumn id="4" xr3:uid="{8A3EB428-5770-4213-8502-5D475C282F82}" name="Margin" dataDxfId="5">
      <calculatedColumnFormula>IFERROR(ROUND((C4-B4)/C4, 2), 0)</calculatedColumnFormula>
    </tableColumn>
    <tableColumn id="5" xr3:uid="{0CCDD739-A63F-4695-86CF-A7EB3ABEE78B}" name="Quanity"/>
    <tableColumn id="6" xr3:uid="{E83D32F8-A2E9-47A5-AB41-F0F00327B7C1}" name="Total Cost" dataDxfId="4">
      <calculatedColumnFormula>PRODUCT(B4,E4)</calculatedColumnFormula>
    </tableColumn>
    <tableColumn id="7" xr3:uid="{EFC9C5EB-5DE7-402A-8AB9-18C962CCEF80}" name="Total Value" dataDxfId="3">
      <calculatedColumnFormula>PRODUCT(C4,E4)</calculatedColumnFormula>
    </tableColumn>
  </tableColumns>
  <tableStyleInfo name="TableStyleMedium18" showFirstColumn="0" showLastColumn="0" showRowStripes="1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91792433-726E-4CF3-A88B-62557A12C0C0}" name="Table4537" displayName="Table4537" ref="O3:P9" totalsRowShown="0">
  <autoFilter ref="O3:P9" xr:uid="{DD0FC197-7CE4-4191-839D-AB91BA2F93AA}"/>
  <tableColumns count="2">
    <tableColumn id="1" xr3:uid="{D19FD4C6-C680-4816-A68A-5C6EF6C70AB2}" name="Month"/>
    <tableColumn id="2" xr3:uid="{4FFDEB6B-4720-4AC5-8F24-A40C5C89DFB5}" name="Profit" dataDxfId="2">
      <calculatedColumnFormula>G12-J5</calculatedColumnFormula>
    </tableColumn>
  </tableColumns>
  <tableStyleInfo name="TableStyleMedium18" showFirstColumn="0" showLastColumn="0" showRowStripes="1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7E8FA97C-B7B5-4DC7-865F-EEBBBE927C90}" name="Table538" displayName="Table538" ref="V40:W45" totalsRowShown="0">
  <autoFilter ref="V40:W45" xr:uid="{05C84CA7-5F41-452A-9DCC-13A260FBD9C1}"/>
  <tableColumns count="2">
    <tableColumn id="1" xr3:uid="{A25DFF44-ECA9-49DE-B587-54EBFAE42101}" name="Column1"/>
    <tableColumn id="2" xr3:uid="{90060FF0-254E-464A-B2DB-7C5431AA17A7}" name="Column2" dataDxfId="1">
      <calculatedColumnFormula>F4+U4</calculatedColumnFormula>
    </tableColumn>
  </tableColumns>
  <tableStyleInfo name="TableStyleMedium2" showFirstColumn="0" showLastColumn="0" showRowStripes="1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D17FF906-8988-4422-B43E-062436963341}" name="Table1539" displayName="Table1539" ref="O58:Q64" totalsRowShown="0">
  <autoFilter ref="O58:Q64" xr:uid="{634D6446-E3A0-47CD-9014-42BB6A32DB97}"/>
  <tableColumns count="3">
    <tableColumn id="1" xr3:uid="{1ADBEEB5-8926-405F-959E-202274CCC9AC}" name="Month"/>
    <tableColumn id="2" xr3:uid="{62C56098-024B-4E47-A4D2-D10F5DC07993}" name=" Sales">
      <calculatedColumnFormula>ROUND(D12/31, 1)</calculatedColumnFormula>
    </tableColumn>
    <tableColumn id="3" xr3:uid="{8AD267DE-83B8-4E1D-AEFE-79D9DCFE8602}" name="Revenue" dataDxfId="0">
      <calculatedColumnFormula>P59*E22</calculatedColumnFormula>
    </tableColumn>
  </tableColumns>
  <tableStyleInfo name="TableStyleMedium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realthread.com/products/next-level-apparel-7200-heavyweight-t-shirt?color=graphite-black" TargetMode="External"/><Relationship Id="rId13" Type="http://schemas.openxmlformats.org/officeDocument/2006/relationships/table" Target="../tables/table8.xml"/><Relationship Id="rId3" Type="http://schemas.openxmlformats.org/officeDocument/2006/relationships/hyperlink" Target="https://www.realthread.com/products/allmade-a2004t-unisex-tri-blend-crewneck-t-shirt?color=deep-black" TargetMode="External"/><Relationship Id="rId7" Type="http://schemas.openxmlformats.org/officeDocument/2006/relationships/hyperlink" Target="https://www.realthread.com/products/lane-seven-lst002-vintage-crewneck-tee?color=vintage-black" TargetMode="External"/><Relationship Id="rId12" Type="http://schemas.openxmlformats.org/officeDocument/2006/relationships/hyperlink" Target="https://www.realthread.com/products/lane-seven-ls16005-heavy-pigment-tee?color=black" TargetMode="External"/><Relationship Id="rId2" Type="http://schemas.openxmlformats.org/officeDocument/2006/relationships/hyperlink" Target="https://www.realthread.com/products/next-level-apparel-6010-mens-tri-blend-crew?color=vintage-black" TargetMode="External"/><Relationship Id="rId1" Type="http://schemas.openxmlformats.org/officeDocument/2006/relationships/hyperlink" Target="https://www.realthread.com/products/next-level-apparel-6210-premium-cvc-crew?color=sand" TargetMode="External"/><Relationship Id="rId6" Type="http://schemas.openxmlformats.org/officeDocument/2006/relationships/hyperlink" Target="https://www.realthread.com/products/american-apparel-2001-fine-jersey-short-sleeve-t-shirt?color=army" TargetMode="External"/><Relationship Id="rId11" Type="http://schemas.openxmlformats.org/officeDocument/2006/relationships/hyperlink" Target="https://www.realthread.com/products/hanes-5180-hanes-beefy-t-adult-short-sleeve-t-shirt?color=black" TargetMode="External"/><Relationship Id="rId5" Type="http://schemas.openxmlformats.org/officeDocument/2006/relationships/hyperlink" Target="https://www.realthread.com/products/los-angeles-apparel-1801gd-ss-grmnt-dye-crew-neck-65oz?color=black" TargetMode="External"/><Relationship Id="rId15" Type="http://schemas.openxmlformats.org/officeDocument/2006/relationships/table" Target="../tables/table10.xml"/><Relationship Id="rId10" Type="http://schemas.openxmlformats.org/officeDocument/2006/relationships/hyperlink" Target="https://www.realthread.com/products/otto-cap-19-3-low-profile-baseball-cap?color=black" TargetMode="External"/><Relationship Id="rId4" Type="http://schemas.openxmlformats.org/officeDocument/2006/relationships/hyperlink" Target="https://www.realthread.com/products/american-apparel-tr401-tri-blend-short-sleeve-track-shirt?color=tri_oatmeal" TargetMode="External"/><Relationship Id="rId9" Type="http://schemas.openxmlformats.org/officeDocument/2006/relationships/hyperlink" Target="https://www.realthread.com/products/otto-cap-18-711-pigment-dyed-dad-hat?color=black" TargetMode="External"/><Relationship Id="rId14" Type="http://schemas.openxmlformats.org/officeDocument/2006/relationships/table" Target="../tables/table9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table" Target="../tables/table16.xml"/><Relationship Id="rId13" Type="http://schemas.openxmlformats.org/officeDocument/2006/relationships/table" Target="../tables/table21.xml"/><Relationship Id="rId3" Type="http://schemas.openxmlformats.org/officeDocument/2006/relationships/table" Target="../tables/table11.xml"/><Relationship Id="rId7" Type="http://schemas.openxmlformats.org/officeDocument/2006/relationships/table" Target="../tables/table15.xml"/><Relationship Id="rId12" Type="http://schemas.openxmlformats.org/officeDocument/2006/relationships/table" Target="../tables/table2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14.xml"/><Relationship Id="rId11" Type="http://schemas.openxmlformats.org/officeDocument/2006/relationships/table" Target="../tables/table19.xml"/><Relationship Id="rId5" Type="http://schemas.openxmlformats.org/officeDocument/2006/relationships/table" Target="../tables/table13.xml"/><Relationship Id="rId15" Type="http://schemas.openxmlformats.org/officeDocument/2006/relationships/table" Target="../tables/table23.xml"/><Relationship Id="rId10" Type="http://schemas.openxmlformats.org/officeDocument/2006/relationships/table" Target="../tables/table18.xml"/><Relationship Id="rId4" Type="http://schemas.openxmlformats.org/officeDocument/2006/relationships/table" Target="../tables/table12.xml"/><Relationship Id="rId9" Type="http://schemas.openxmlformats.org/officeDocument/2006/relationships/table" Target="../tables/table17.xml"/><Relationship Id="rId14" Type="http://schemas.openxmlformats.org/officeDocument/2006/relationships/table" Target="../tables/table22.xm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bareperformancenutrition.com/products/we-fuel-performance-tee" TargetMode="External"/><Relationship Id="rId18" Type="http://schemas.openxmlformats.org/officeDocument/2006/relationships/hyperlink" Target="https://www.bareperformancenutrition.com/products/endure-the-process-tee" TargetMode="External"/><Relationship Id="rId26" Type="http://schemas.openxmlformats.org/officeDocument/2006/relationships/hyperlink" Target="https://getrawnutrition.com/products/essential-ftgu-t-shirt" TargetMode="External"/><Relationship Id="rId39" Type="http://schemas.openxmlformats.org/officeDocument/2006/relationships/hyperlink" Target="https://rysesupps.com/products/t-shirt-script-tee" TargetMode="External"/><Relationship Id="rId21" Type="http://schemas.openxmlformats.org/officeDocument/2006/relationships/hyperlink" Target="https://cellucor.com/products/mens-c4-chest-tee-1?variant=39523732389950" TargetMode="External"/><Relationship Id="rId34" Type="http://schemas.openxmlformats.org/officeDocument/2006/relationships/hyperlink" Target="https://www.kaged.com/collections/accessories-and-apparels/products/circle-tee?variant=41858404089921" TargetMode="External"/><Relationship Id="rId42" Type="http://schemas.openxmlformats.org/officeDocument/2006/relationships/table" Target="../tables/table24.xml"/><Relationship Id="rId7" Type="http://schemas.openxmlformats.org/officeDocument/2006/relationships/hyperlink" Target="https://www.bareperformancenutrition.com/products/varsity-tee-black?variant=32097962885200" TargetMode="External"/><Relationship Id="rId2" Type="http://schemas.openxmlformats.org/officeDocument/2006/relationships/hyperlink" Target="https://www.buckedup.com/shop/apparel/Drop-Shoulder-Oversized-T-Shirt" TargetMode="External"/><Relationship Id="rId16" Type="http://schemas.openxmlformats.org/officeDocument/2006/relationships/hyperlink" Target="https://www.bareperformancenutrition.com/products/trucker-tee" TargetMode="External"/><Relationship Id="rId20" Type="http://schemas.openxmlformats.org/officeDocument/2006/relationships/hyperlink" Target="https://cellucor.com/products/mens-cellucor-tee" TargetMode="External"/><Relationship Id="rId29" Type="http://schemas.openxmlformats.org/officeDocument/2006/relationships/hyperlink" Target="https://www.kaged.com/collections/accessories-and-apparels/products/kaged-logo-t-shirt?variant=39653557108801" TargetMode="External"/><Relationship Id="rId41" Type="http://schemas.openxmlformats.org/officeDocument/2006/relationships/printerSettings" Target="../printerSettings/printerSettings2.bin"/><Relationship Id="rId1" Type="http://schemas.openxmlformats.org/officeDocument/2006/relationships/hyperlink" Target="https://www.buckedup.com/shop/apparel/flag-t-shirt" TargetMode="External"/><Relationship Id="rId6" Type="http://schemas.openxmlformats.org/officeDocument/2006/relationships/hyperlink" Target="https://www.buckedup.com/apparel/one-more-set-t-shirt" TargetMode="External"/><Relationship Id="rId11" Type="http://schemas.openxmlformats.org/officeDocument/2006/relationships/hyperlink" Target="https://www.bareperformancenutrition.com/products/go-one-more-tee-white" TargetMode="External"/><Relationship Id="rId24" Type="http://schemas.openxmlformats.org/officeDocument/2006/relationships/hyperlink" Target="https://getrawnutrition.com/products/origin-tee" TargetMode="External"/><Relationship Id="rId32" Type="http://schemas.openxmlformats.org/officeDocument/2006/relationships/hyperlink" Target="https://www.kaged.com/collections/accessories-and-apparels/products/fuel-tee?variant=41858386526273" TargetMode="External"/><Relationship Id="rId37" Type="http://schemas.openxmlformats.org/officeDocument/2006/relationships/hyperlink" Target="https://promixnutrition.com/products/promix-x-kelly-matthews" TargetMode="External"/><Relationship Id="rId40" Type="http://schemas.openxmlformats.org/officeDocument/2006/relationships/hyperlink" Target="https://rysesupps.com/products/ryse-above-tee" TargetMode="External"/><Relationship Id="rId5" Type="http://schemas.openxmlformats.org/officeDocument/2006/relationships/hyperlink" Target="https://www.buckedup.com/apparel/BU-Graphic-T-Shirt" TargetMode="External"/><Relationship Id="rId15" Type="http://schemas.openxmlformats.org/officeDocument/2006/relationships/hyperlink" Target="https://www.bareperformancenutrition.com/products/stay-hybrid-tee-1" TargetMode="External"/><Relationship Id="rId23" Type="http://schemas.openxmlformats.org/officeDocument/2006/relationships/hyperlink" Target="https://getrawnutrition.com/products/credits-t-shirt" TargetMode="External"/><Relationship Id="rId28" Type="http://schemas.openxmlformats.org/officeDocument/2006/relationships/hyperlink" Target="https://jockofuel.com/products/jocko-fuel-original-t-shirt?variant=47571179667751" TargetMode="External"/><Relationship Id="rId36" Type="http://schemas.openxmlformats.org/officeDocument/2006/relationships/hyperlink" Target="https://promixnutrition.com/collections/nutritional-supplements" TargetMode="External"/><Relationship Id="rId10" Type="http://schemas.openxmlformats.org/officeDocument/2006/relationships/hyperlink" Target="https://www.bareperformancenutrition.com/products/stay-in-the-fight-tee?variant=42398475845804" TargetMode="External"/><Relationship Id="rId19" Type="http://schemas.openxmlformats.org/officeDocument/2006/relationships/hyperlink" Target="https://cellucor.com/products/c4-energy-wounded-warrior-t-shirt" TargetMode="External"/><Relationship Id="rId31" Type="http://schemas.openxmlformats.org/officeDocument/2006/relationships/hyperlink" Target="https://www.kaged.com/collections/accessories-and-apparels/products/comfort-colors-1717-tee-black-2015?variant=41708164186177" TargetMode="External"/><Relationship Id="rId4" Type="http://schemas.openxmlformats.org/officeDocument/2006/relationships/hyperlink" Target="https://www.buckedup.com/apparel/boot-camp-t-shirt" TargetMode="External"/><Relationship Id="rId9" Type="http://schemas.openxmlformats.org/officeDocument/2006/relationships/hyperlink" Target="https://www.bareperformancenutrition.com/products/if-it-matters-to-you-tee?variant=42898870370476" TargetMode="External"/><Relationship Id="rId14" Type="http://schemas.openxmlformats.org/officeDocument/2006/relationships/hyperlink" Target="https://www.bareperformancenutrition.com/products/set-the-standard-tee" TargetMode="External"/><Relationship Id="rId22" Type="http://schemas.openxmlformats.org/officeDocument/2006/relationships/hyperlink" Target="https://cellucor.com/products/mens-c4-energy-iyf-tee" TargetMode="External"/><Relationship Id="rId27" Type="http://schemas.openxmlformats.org/officeDocument/2006/relationships/hyperlink" Target="https://getrawnutrition.com/products/prime-t-shirt" TargetMode="External"/><Relationship Id="rId30" Type="http://schemas.openxmlformats.org/officeDocument/2006/relationships/hyperlink" Target="https://www.kaged.com/collections/accessories-and-apparels/products/comfort-colors-1717-tee-black-stripes?variant=41708163268673" TargetMode="External"/><Relationship Id="rId35" Type="http://schemas.openxmlformats.org/officeDocument/2006/relationships/hyperlink" Target="https://www.kaged.com/collections/accessories-and-apparels/products/kaged-x-unrl-stride-short-sleeve?variant=41749436301377" TargetMode="External"/><Relationship Id="rId43" Type="http://schemas.openxmlformats.org/officeDocument/2006/relationships/table" Target="../tables/table25.xml"/><Relationship Id="rId8" Type="http://schemas.openxmlformats.org/officeDocument/2006/relationships/hyperlink" Target="https://www.bareperformancenutrition.com/products/bpn-tee" TargetMode="External"/><Relationship Id="rId3" Type="http://schemas.openxmlformats.org/officeDocument/2006/relationships/hyperlink" Target="https://www.buckedup.com/men/retro-t-shirt" TargetMode="External"/><Relationship Id="rId12" Type="http://schemas.openxmlformats.org/officeDocument/2006/relationships/hyperlink" Target="https://www.bareperformancenutrition.com/products/adventure-tee" TargetMode="External"/><Relationship Id="rId17" Type="http://schemas.openxmlformats.org/officeDocument/2006/relationships/hyperlink" Target="https://www.bareperformancenutrition.com/products/deep-in-the-heart-of-texas-tee" TargetMode="External"/><Relationship Id="rId25" Type="http://schemas.openxmlformats.org/officeDocument/2006/relationships/hyperlink" Target="https://getrawnutrition.com/products/genuine-tee" TargetMode="External"/><Relationship Id="rId33" Type="http://schemas.openxmlformats.org/officeDocument/2006/relationships/hyperlink" Target="https://www.kaged.com/collections/accessories-and-apparels/products/dna-tee?variant=41858344910913" TargetMode="External"/><Relationship Id="rId38" Type="http://schemas.openxmlformats.org/officeDocument/2006/relationships/hyperlink" Target="https://rysesupps.com/products/ryse-the-f-k-up-tee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uckedup.com/shop/hats/Waterproof-Golf-Black-Hat-Black-Rubberized-Logo" TargetMode="External"/><Relationship Id="rId13" Type="http://schemas.openxmlformats.org/officeDocument/2006/relationships/hyperlink" Target="https://www.bareperformancenutrition.com/products/snapback-hat-usa-navy" TargetMode="External"/><Relationship Id="rId18" Type="http://schemas.openxmlformats.org/officeDocument/2006/relationships/hyperlink" Target="https://www.bareperformancenutrition.com/products/bpn-x-ciele-endurance-cap" TargetMode="External"/><Relationship Id="rId26" Type="http://schemas.openxmlformats.org/officeDocument/2006/relationships/hyperlink" Target="https://promixnutrition.com/products/the-dad-hat" TargetMode="External"/><Relationship Id="rId3" Type="http://schemas.openxmlformats.org/officeDocument/2006/relationships/hyperlink" Target="https://www.buckedup.com/hats/Swirl-Foam-All-White-Hat-Light-Blue-Logo" TargetMode="External"/><Relationship Id="rId21" Type="http://schemas.openxmlformats.org/officeDocument/2006/relationships/hyperlink" Target="https://getrawnutrition.com/products/midnight-hat" TargetMode="External"/><Relationship Id="rId7" Type="http://schemas.openxmlformats.org/officeDocument/2006/relationships/hyperlink" Target="https://www.buckedup.com/shop/hats/reflective-trucker-hat" TargetMode="External"/><Relationship Id="rId12" Type="http://schemas.openxmlformats.org/officeDocument/2006/relationships/hyperlink" Target="https://www.buckedup.com/shop/hats/Waterproof-Golf-Off-White-Hat-White-Buck-Logo" TargetMode="External"/><Relationship Id="rId17" Type="http://schemas.openxmlformats.org/officeDocument/2006/relationships/hyperlink" Target="https://www.bareperformancenutrition.com/products/go-one-more-endurance-hat" TargetMode="External"/><Relationship Id="rId25" Type="http://schemas.openxmlformats.org/officeDocument/2006/relationships/hyperlink" Target="https://www.kaged.com/collections/accessories-and-apparels/products/kaged-logo-dad-hat?variant=40299813994561" TargetMode="External"/><Relationship Id="rId2" Type="http://schemas.openxmlformats.org/officeDocument/2006/relationships/hyperlink" Target="https://www.buckedup.com/hats/richardson-hat-white" TargetMode="External"/><Relationship Id="rId16" Type="http://schemas.openxmlformats.org/officeDocument/2006/relationships/hyperlink" Target="https://www.bareperformancenutrition.com/products/go-one-more-endurance-hat" TargetMode="External"/><Relationship Id="rId20" Type="http://schemas.openxmlformats.org/officeDocument/2006/relationships/hyperlink" Target="https://getrawnutrition.com/products/gilded-hat" TargetMode="External"/><Relationship Id="rId1" Type="http://schemas.openxmlformats.org/officeDocument/2006/relationships/hyperlink" Target="https://www.buckedup.com/hats/Richardson-Trucker-Light-Camo-Black-Hat-White-Black-Logo" TargetMode="External"/><Relationship Id="rId6" Type="http://schemas.openxmlformats.org/officeDocument/2006/relationships/hyperlink" Target="https://www.buckedup.com/shop/hats/freedom-trucker-Green-Camo-Black-Mesh-Flag-Logo" TargetMode="External"/><Relationship Id="rId11" Type="http://schemas.openxmlformats.org/officeDocument/2006/relationships/hyperlink" Target="https://www.buckedup.com/shop/hats/Premium-Waterproof-Hat-Flat-Brim" TargetMode="External"/><Relationship Id="rId24" Type="http://schemas.openxmlformats.org/officeDocument/2006/relationships/hyperlink" Target="https://www.kaged.com/collections/accessories-and-apparels/products/kaged-logo-trucker-hat?variant=40299818156097" TargetMode="External"/><Relationship Id="rId5" Type="http://schemas.openxmlformats.org/officeDocument/2006/relationships/hyperlink" Target="https://www.buckedup.com/shop/hats/lifestyle-trucker-hat" TargetMode="External"/><Relationship Id="rId15" Type="http://schemas.openxmlformats.org/officeDocument/2006/relationships/hyperlink" Target="https://www.bareperformancenutrition.com/products/bpn-black-camo-snapback-hat" TargetMode="External"/><Relationship Id="rId23" Type="http://schemas.openxmlformats.org/officeDocument/2006/relationships/hyperlink" Target="https://www.kaged.com/collections/accessories-and-apparels/products/kaged-logo-snapback-hat?variant=40299819139137" TargetMode="External"/><Relationship Id="rId10" Type="http://schemas.openxmlformats.org/officeDocument/2006/relationships/hyperlink" Target="https://www.buckedup.com/shop/hats/Premium-Waterproof-Teal-Camo-Curved-Hat-Teal-Black-Logo" TargetMode="External"/><Relationship Id="rId19" Type="http://schemas.openxmlformats.org/officeDocument/2006/relationships/hyperlink" Target="https://getrawnutrition.com/products/hat" TargetMode="External"/><Relationship Id="rId4" Type="http://schemas.openxmlformats.org/officeDocument/2006/relationships/hyperlink" Target="https://www.buckedup.com/hats/5-Panel-Baseball-Hat-White-Black-Brim-Black-Embroidered-Logo" TargetMode="External"/><Relationship Id="rId9" Type="http://schemas.openxmlformats.org/officeDocument/2006/relationships/hyperlink" Target="https://www.buckedup.com/shop/hats/established-7-Panel-trucker-hat" TargetMode="External"/><Relationship Id="rId14" Type="http://schemas.openxmlformats.org/officeDocument/2006/relationships/hyperlink" Target="https://www.bareperformancenutrition.com/products/endurance-hat-bpn" TargetMode="External"/><Relationship Id="rId22" Type="http://schemas.openxmlformats.org/officeDocument/2006/relationships/hyperlink" Target="https://jockofuel.com/products/jocko-fuel-logo-hat" TargetMode="External"/><Relationship Id="rId27" Type="http://schemas.openxmlformats.org/officeDocument/2006/relationships/table" Target="../tables/table26.xm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cellucor.com/products/cellucor-shaker?_pos=4&amp;_sid=99d408fbd&amp;_ss=r" TargetMode="External"/><Relationship Id="rId13" Type="http://schemas.openxmlformats.org/officeDocument/2006/relationships/hyperlink" Target="https://jockofuel.com/products/jocko-fuel-shaker-cup" TargetMode="External"/><Relationship Id="rId18" Type="http://schemas.openxmlformats.org/officeDocument/2006/relationships/hyperlink" Target="https://cellucor.com/products/wounded-warrior-project-shaker" TargetMode="External"/><Relationship Id="rId3" Type="http://schemas.openxmlformats.org/officeDocument/2006/relationships/hyperlink" Target="https://www.buckedup.com/shop/shakers-and-bottles/babe-shaker" TargetMode="External"/><Relationship Id="rId7" Type="http://schemas.openxmlformats.org/officeDocument/2006/relationships/hyperlink" Target="https://www.bareperformancenutrition.com/products/shaker-bottle-red-28oz-1" TargetMode="External"/><Relationship Id="rId12" Type="http://schemas.openxmlformats.org/officeDocument/2006/relationships/hyperlink" Target="https://getrawnutrition.com/products/conquer-shaker-bottle?variant=51657779020094" TargetMode="External"/><Relationship Id="rId17" Type="http://schemas.openxmlformats.org/officeDocument/2006/relationships/hyperlink" Target="https://www.kaged.com/collections/accessories-and-apparels/products/shaker-of-the-month-mint?variant=41858415493185" TargetMode="External"/><Relationship Id="rId2" Type="http://schemas.openxmlformats.org/officeDocument/2006/relationships/hyperlink" Target="https://www.buckedup.com/shop/shakers-and-bottles/perfect-shaker" TargetMode="External"/><Relationship Id="rId16" Type="http://schemas.openxmlformats.org/officeDocument/2006/relationships/hyperlink" Target="https://www.kaged.com/collections/accessories-and-apparels/products/shaker-of-the-month-cranberry?variant=41891784392769" TargetMode="External"/><Relationship Id="rId1" Type="http://schemas.openxmlformats.org/officeDocument/2006/relationships/hyperlink" Target="https://www.buckedup.com/shop/shakers-and-bottles/bulk-shaker-supply" TargetMode="External"/><Relationship Id="rId6" Type="http://schemas.openxmlformats.org/officeDocument/2006/relationships/hyperlink" Target="https://www.bareperformancenutrition.com/products/go-one-more-shaker-bottle-28oz" TargetMode="External"/><Relationship Id="rId11" Type="http://schemas.openxmlformats.org/officeDocument/2006/relationships/hyperlink" Target="https://cellucor.com/products/xtend-smartshake-33oz-shaker?_pos=1&amp;_sid=99d408fbd&amp;_ss=r" TargetMode="External"/><Relationship Id="rId5" Type="http://schemas.openxmlformats.org/officeDocument/2006/relationships/hyperlink" Target="https://www.bareperformancenutrition.com/products/bpn-shaker-bottle" TargetMode="External"/><Relationship Id="rId15" Type="http://schemas.openxmlformats.org/officeDocument/2006/relationships/hyperlink" Target="https://www.kaged.com/collections/accessories-and-apparels/products/stainless-steel-shaker?variant=39653519065153" TargetMode="External"/><Relationship Id="rId10" Type="http://schemas.openxmlformats.org/officeDocument/2006/relationships/hyperlink" Target="https://cellucor.com/products/xtend-28oz-blender-bottle?_pos=20&amp;_sid=99d408fbd&amp;_ss=r" TargetMode="External"/><Relationship Id="rId4" Type="http://schemas.openxmlformats.org/officeDocument/2006/relationships/hyperlink" Target="https://www.buckedup.com/shop/shakers-and-bottles/ocean-shaker" TargetMode="External"/><Relationship Id="rId9" Type="http://schemas.openxmlformats.org/officeDocument/2006/relationships/hyperlink" Target="https://cellucor.com/products/yellow-black-c4-28oz-blender-bottle?_pos=19&amp;_sid=99d408fbd&amp;_ss=r" TargetMode="External"/><Relationship Id="rId14" Type="http://schemas.openxmlformats.org/officeDocument/2006/relationships/hyperlink" Target="https://www.kaged.com/collections/accessories-and-apparels/products/blender-bottle-classic?variant=15293237379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cellucor.com/products/alphabomb-sticker?srsltid=AfmBOopG-EauyqfOp3CN1xpsPYQKZrSVv5SeIu4HPGFydGBotRqr9vwX" TargetMode="External"/><Relationship Id="rId3" Type="http://schemas.openxmlformats.org/officeDocument/2006/relationships/hyperlink" Target="https://www.buckedup.com/fun-stuff/bucked-up-reg-sticker" TargetMode="External"/><Relationship Id="rId7" Type="http://schemas.openxmlformats.org/officeDocument/2006/relationships/hyperlink" Target="https://www.bareperformancenutrition.com/products/car-decals?variant=42227801260204" TargetMode="External"/><Relationship Id="rId2" Type="http://schemas.openxmlformats.org/officeDocument/2006/relationships/hyperlink" Target="https://www.buckedup.com/fun-stuff/bucked-up-reg-sticker" TargetMode="External"/><Relationship Id="rId1" Type="http://schemas.openxmlformats.org/officeDocument/2006/relationships/hyperlink" Target="https://www.buckedup.com/fun-stuff/bucked-up-reg-sticker" TargetMode="External"/><Relationship Id="rId6" Type="http://schemas.openxmlformats.org/officeDocument/2006/relationships/hyperlink" Target="https://www.bareperformancenutrition.com/products/car-decals?variant=43293815472300" TargetMode="External"/><Relationship Id="rId5" Type="http://schemas.openxmlformats.org/officeDocument/2006/relationships/hyperlink" Target="https://www.buckedup.com/fun-stuff/bucked-up-reg-sticker" TargetMode="External"/><Relationship Id="rId4" Type="http://schemas.openxmlformats.org/officeDocument/2006/relationships/hyperlink" Target="https://www.buckedup.com/fun-stuff/bucked-up-reg-sticker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table" Target="../tables/table33.xml"/><Relationship Id="rId13" Type="http://schemas.openxmlformats.org/officeDocument/2006/relationships/table" Target="../tables/table38.xml"/><Relationship Id="rId3" Type="http://schemas.openxmlformats.org/officeDocument/2006/relationships/table" Target="../tables/table28.xml"/><Relationship Id="rId7" Type="http://schemas.openxmlformats.org/officeDocument/2006/relationships/table" Target="../tables/table32.xml"/><Relationship Id="rId12" Type="http://schemas.openxmlformats.org/officeDocument/2006/relationships/table" Target="../tables/table37.xml"/><Relationship Id="rId2" Type="http://schemas.openxmlformats.org/officeDocument/2006/relationships/table" Target="../tables/table27.xml"/><Relationship Id="rId1" Type="http://schemas.openxmlformats.org/officeDocument/2006/relationships/drawing" Target="../drawings/drawing2.xml"/><Relationship Id="rId6" Type="http://schemas.openxmlformats.org/officeDocument/2006/relationships/table" Target="../tables/table31.xml"/><Relationship Id="rId11" Type="http://schemas.openxmlformats.org/officeDocument/2006/relationships/table" Target="../tables/table36.xml"/><Relationship Id="rId5" Type="http://schemas.openxmlformats.org/officeDocument/2006/relationships/table" Target="../tables/table30.xml"/><Relationship Id="rId10" Type="http://schemas.openxmlformats.org/officeDocument/2006/relationships/table" Target="../tables/table35.xml"/><Relationship Id="rId4" Type="http://schemas.openxmlformats.org/officeDocument/2006/relationships/table" Target="../tables/table29.xml"/><Relationship Id="rId9" Type="http://schemas.openxmlformats.org/officeDocument/2006/relationships/table" Target="../tables/table34.xml"/><Relationship Id="rId14" Type="http://schemas.openxmlformats.org/officeDocument/2006/relationships/table" Target="../tables/table3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DF6DC7-3A6B-4E0F-B6C4-10EA32661099}">
  <dimension ref="A3:L55"/>
  <sheetViews>
    <sheetView zoomScale="85" zoomScaleNormal="85" workbookViewId="0">
      <selection activeCell="B6" sqref="B6"/>
    </sheetView>
  </sheetViews>
  <sheetFormatPr defaultRowHeight="15"/>
  <cols>
    <col min="1" max="8" width="15.7109375" customWidth="1"/>
    <col min="9" max="10" width="20.7109375" customWidth="1"/>
    <col min="11" max="12" width="15.7109375" customWidth="1"/>
    <col min="14" max="14" width="10.85546875" bestFit="1" customWidth="1"/>
  </cols>
  <sheetData>
    <row r="3" spans="1:12" ht="17.25">
      <c r="A3" s="60"/>
      <c r="B3" s="99"/>
      <c r="E3" s="60"/>
      <c r="H3" s="50"/>
    </row>
    <row r="4" spans="1:12" ht="18.75">
      <c r="A4" t="s">
        <v>0</v>
      </c>
      <c r="B4" t="s">
        <v>1</v>
      </c>
      <c r="C4" t="s">
        <v>2</v>
      </c>
      <c r="D4" s="49" t="s">
        <v>3</v>
      </c>
      <c r="E4" t="s">
        <v>4</v>
      </c>
      <c r="F4" t="s">
        <v>5</v>
      </c>
      <c r="G4" s="50" t="s">
        <v>6</v>
      </c>
      <c r="H4" s="50" t="s">
        <v>7</v>
      </c>
      <c r="I4" s="94" t="s">
        <v>8</v>
      </c>
      <c r="J4" s="95" t="s">
        <v>9</v>
      </c>
      <c r="L4" s="97" t="s">
        <v>7</v>
      </c>
    </row>
    <row r="5" spans="1:12">
      <c r="A5" s="92" t="s">
        <v>10</v>
      </c>
      <c r="B5" s="50">
        <v>11.56</v>
      </c>
      <c r="C5" s="50">
        <v>24.99</v>
      </c>
      <c r="D5" s="49">
        <f t="shared" ref="D5:D9" si="0">IFERROR(ROUND((C5-B5)/C5, 2), 0)</f>
        <v>0.54</v>
      </c>
      <c r="E5">
        <v>200</v>
      </c>
      <c r="F5" s="50">
        <f>PRODUCT(B5,E5)</f>
        <v>2312</v>
      </c>
      <c r="G5" s="50">
        <f>PRODUCT(C5,E5)</f>
        <v>4998</v>
      </c>
      <c r="H5" s="50" t="s">
        <v>11</v>
      </c>
      <c r="I5" s="3" t="s">
        <v>12</v>
      </c>
      <c r="J5" s="3" t="s">
        <v>13</v>
      </c>
      <c r="L5" t="s">
        <v>14</v>
      </c>
    </row>
    <row r="6" spans="1:12">
      <c r="A6" t="s">
        <v>15</v>
      </c>
      <c r="B6" s="50">
        <v>17.36</v>
      </c>
      <c r="C6" s="50">
        <v>39.99</v>
      </c>
      <c r="D6" s="49">
        <f t="shared" si="0"/>
        <v>0.56999999999999995</v>
      </c>
      <c r="E6">
        <v>200</v>
      </c>
      <c r="F6" s="50">
        <f>PRODUCT(B6,E6)</f>
        <v>3472</v>
      </c>
      <c r="G6" s="50">
        <f>PRODUCT(C6,E6)</f>
        <v>7998</v>
      </c>
      <c r="H6" s="50" t="s">
        <v>16</v>
      </c>
      <c r="I6" s="3" t="s">
        <v>17</v>
      </c>
      <c r="J6" s="3" t="s">
        <v>18</v>
      </c>
      <c r="L6" t="s">
        <v>19</v>
      </c>
    </row>
    <row r="7" spans="1:12">
      <c r="A7" t="s">
        <v>20</v>
      </c>
      <c r="B7" s="50">
        <v>12.26</v>
      </c>
      <c r="C7" s="50">
        <v>29.99</v>
      </c>
      <c r="D7" s="49">
        <f t="shared" si="0"/>
        <v>0.59</v>
      </c>
      <c r="E7">
        <v>150</v>
      </c>
      <c r="F7" s="50">
        <f>PRODUCT(B7,E7)</f>
        <v>1839</v>
      </c>
      <c r="G7" s="50">
        <f>PRODUCT(C7,E7)</f>
        <v>4498.5</v>
      </c>
      <c r="H7" s="50" t="s">
        <v>21</v>
      </c>
      <c r="I7" s="3" t="s">
        <v>22</v>
      </c>
      <c r="J7" s="3" t="s">
        <v>23</v>
      </c>
    </row>
    <row r="8" spans="1:12">
      <c r="A8" t="s">
        <v>24</v>
      </c>
      <c r="B8" s="50">
        <v>6.44</v>
      </c>
      <c r="C8" s="50">
        <v>13.99</v>
      </c>
      <c r="D8" s="49">
        <f t="shared" si="0"/>
        <v>0.54</v>
      </c>
      <c r="E8">
        <v>240</v>
      </c>
      <c r="F8" s="50">
        <f>PRODUCT(B8,E8)</f>
        <v>1545.6000000000001</v>
      </c>
      <c r="G8" s="50">
        <f>PRODUCT(C8,E8)</f>
        <v>3357.6</v>
      </c>
      <c r="H8" t="s">
        <v>25</v>
      </c>
      <c r="J8" s="3" t="s">
        <v>26</v>
      </c>
    </row>
    <row r="9" spans="1:12">
      <c r="A9" t="s">
        <v>27</v>
      </c>
      <c r="B9" s="50">
        <v>1.52</v>
      </c>
      <c r="C9" s="50">
        <v>5</v>
      </c>
      <c r="D9" s="49">
        <f t="shared" si="0"/>
        <v>0.7</v>
      </c>
      <c r="E9">
        <v>300</v>
      </c>
      <c r="F9" s="50">
        <f>PRODUCT(B9,E9)</f>
        <v>456</v>
      </c>
      <c r="G9" s="50">
        <f>PRODUCT(C9,E9)</f>
        <v>1500</v>
      </c>
      <c r="H9" t="s">
        <v>28</v>
      </c>
    </row>
    <row r="11" spans="1:12" ht="15.75">
      <c r="A11" s="60" t="s">
        <v>29</v>
      </c>
      <c r="B11" s="60"/>
      <c r="C11" s="60"/>
      <c r="E11" s="48" t="s">
        <v>30</v>
      </c>
    </row>
    <row r="12" spans="1:12">
      <c r="A12" t="s">
        <v>0</v>
      </c>
      <c r="B12" t="s">
        <v>1</v>
      </c>
      <c r="C12" t="s">
        <v>4</v>
      </c>
      <c r="D12" t="s">
        <v>5</v>
      </c>
      <c r="E12" s="70" t="s">
        <v>5</v>
      </c>
      <c r="F12" s="80" t="s">
        <v>31</v>
      </c>
      <c r="G12" s="68" t="s">
        <v>32</v>
      </c>
    </row>
    <row r="13" spans="1:12">
      <c r="A13" t="str">
        <f t="shared" ref="A13:B17" si="1">A5</f>
        <v>Next Level 6010</v>
      </c>
      <c r="B13" s="50">
        <f t="shared" si="1"/>
        <v>11.56</v>
      </c>
      <c r="C13">
        <v>30</v>
      </c>
      <c r="D13" s="50">
        <f>PRODUCT(B13,C13)</f>
        <v>346.8</v>
      </c>
      <c r="E13" s="66">
        <f>SUM(F5:F9)</f>
        <v>9624.6</v>
      </c>
      <c r="F13" s="66">
        <f>G13-E13</f>
        <v>12727.499999999998</v>
      </c>
      <c r="G13" s="66">
        <f>SUM(G5:G9)</f>
        <v>22352.1</v>
      </c>
    </row>
    <row r="14" spans="1:12" ht="15.75">
      <c r="A14" t="str">
        <f t="shared" si="1"/>
        <v>LAA 1801GD</v>
      </c>
      <c r="B14" s="50">
        <f t="shared" si="1"/>
        <v>17.36</v>
      </c>
      <c r="C14">
        <v>30</v>
      </c>
      <c r="D14" s="50">
        <f>PRODUCT(B14,C14)</f>
        <v>520.79999999999995</v>
      </c>
      <c r="E14" s="3"/>
      <c r="G14" s="3"/>
      <c r="I14" s="104" t="s">
        <v>33</v>
      </c>
    </row>
    <row r="15" spans="1:12">
      <c r="A15" t="str">
        <f t="shared" si="1"/>
        <v>Otto 18-711</v>
      </c>
      <c r="B15" s="50">
        <f>B7</f>
        <v>12.26</v>
      </c>
      <c r="C15">
        <v>25</v>
      </c>
      <c r="D15" s="50">
        <f>PRODUCT(B15,C15)</f>
        <v>306.5</v>
      </c>
      <c r="E15" s="54" t="s">
        <v>34</v>
      </c>
      <c r="G15" s="3"/>
      <c r="I15" s="71">
        <f>AVERAGE(C5:C7) * 0.1 + 2 + 8.26</f>
        <v>13.425666666666666</v>
      </c>
    </row>
    <row r="16" spans="1:12">
      <c r="A16" t="str">
        <f t="shared" si="1"/>
        <v>Perfect Bottle</v>
      </c>
      <c r="B16" s="50">
        <f t="shared" si="1"/>
        <v>6.44</v>
      </c>
      <c r="C16">
        <v>25</v>
      </c>
      <c r="D16" s="50">
        <f>PRODUCT(B16,C16)</f>
        <v>161</v>
      </c>
      <c r="E16" s="85" t="s">
        <v>35</v>
      </c>
      <c r="F16" s="86" t="s">
        <v>36</v>
      </c>
      <c r="G16" s="84" t="s">
        <v>37</v>
      </c>
    </row>
    <row r="17" spans="1:12">
      <c r="A17" t="str">
        <f t="shared" si="1"/>
        <v>Stickers</v>
      </c>
      <c r="B17" s="50">
        <f t="shared" si="1"/>
        <v>1.52</v>
      </c>
      <c r="C17">
        <v>50</v>
      </c>
      <c r="D17" s="50">
        <f>PRODUCT(B17,C17)</f>
        <v>76</v>
      </c>
      <c r="E17" s="71">
        <f>SUM(D13:D17, E13)</f>
        <v>11035.7</v>
      </c>
      <c r="F17" s="71">
        <f>G13-E17</f>
        <v>11316.399999999998</v>
      </c>
      <c r="G17" s="91">
        <f xml:space="preserve"> ROUND(F17/G13,3)</f>
        <v>0.50600000000000001</v>
      </c>
    </row>
    <row r="18" spans="1:12">
      <c r="B18" s="50"/>
      <c r="D18" s="62">
        <f>SUM(D13:D17)</f>
        <v>1411.1</v>
      </c>
    </row>
    <row r="22" spans="1:12" ht="17.25">
      <c r="A22" s="60"/>
      <c r="B22" s="99"/>
      <c r="H22" s="50"/>
    </row>
    <row r="23" spans="1:12" ht="18.75">
      <c r="A23" t="s">
        <v>0</v>
      </c>
      <c r="B23" t="s">
        <v>1</v>
      </c>
      <c r="C23" t="s">
        <v>2</v>
      </c>
      <c r="D23" s="49" t="s">
        <v>3</v>
      </c>
      <c r="E23" t="s">
        <v>4</v>
      </c>
      <c r="F23" t="s">
        <v>5</v>
      </c>
      <c r="G23" s="50" t="s">
        <v>6</v>
      </c>
      <c r="H23" s="50" t="s">
        <v>7</v>
      </c>
      <c r="I23" s="94" t="s">
        <v>8</v>
      </c>
      <c r="J23" s="95" t="s">
        <v>9</v>
      </c>
      <c r="L23" s="97" t="s">
        <v>7</v>
      </c>
    </row>
    <row r="24" spans="1:12">
      <c r="A24" s="92" t="s">
        <v>38</v>
      </c>
      <c r="B24" s="50">
        <v>10.97</v>
      </c>
      <c r="C24" s="50">
        <v>24.99</v>
      </c>
      <c r="D24" s="49">
        <f t="shared" ref="D24:D28" si="2">IFERROR(ROUND((C24-B24)/C24, 2), 0)</f>
        <v>0.56000000000000005</v>
      </c>
      <c r="E24">
        <v>225</v>
      </c>
      <c r="F24" s="50">
        <f>PRODUCT(B24,E24)</f>
        <v>2468.25</v>
      </c>
      <c r="G24" s="50">
        <f>PRODUCT(C24,E24)</f>
        <v>5622.75</v>
      </c>
      <c r="H24" s="50" t="s">
        <v>11</v>
      </c>
      <c r="I24" s="3" t="s">
        <v>39</v>
      </c>
      <c r="J24" t="s">
        <v>40</v>
      </c>
      <c r="L24" t="s">
        <v>14</v>
      </c>
    </row>
    <row r="25" spans="1:12">
      <c r="A25" t="s">
        <v>41</v>
      </c>
      <c r="B25" s="50">
        <v>9.2100000000000009</v>
      </c>
      <c r="C25" s="50">
        <v>29.99</v>
      </c>
      <c r="D25" s="49">
        <f t="shared" si="2"/>
        <v>0.69</v>
      </c>
      <c r="E25">
        <v>225</v>
      </c>
      <c r="F25" s="50">
        <f>PRODUCT(B25,E25)</f>
        <v>2072.25</v>
      </c>
      <c r="G25" s="50">
        <f>PRODUCT(C25,E25)</f>
        <v>6747.75</v>
      </c>
      <c r="H25" s="50" t="s">
        <v>42</v>
      </c>
      <c r="I25" s="3" t="s">
        <v>43</v>
      </c>
      <c r="J25" s="13" t="s">
        <v>44</v>
      </c>
      <c r="L25" t="s">
        <v>19</v>
      </c>
    </row>
    <row r="26" spans="1:12">
      <c r="A26" t="s">
        <v>20</v>
      </c>
      <c r="B26" s="50">
        <v>12.26</v>
      </c>
      <c r="C26" s="50">
        <v>29.99</v>
      </c>
      <c r="D26" s="49">
        <f t="shared" si="2"/>
        <v>0.59</v>
      </c>
      <c r="E26">
        <v>150</v>
      </c>
      <c r="F26" s="50">
        <f>PRODUCT(B26,E26)</f>
        <v>1839</v>
      </c>
      <c r="G26" s="50">
        <f>PRODUCT(C26,E26)</f>
        <v>4498.5</v>
      </c>
      <c r="H26" s="50" t="s">
        <v>21</v>
      </c>
      <c r="I26" s="3" t="s">
        <v>23</v>
      </c>
      <c r="J26" t="s">
        <v>45</v>
      </c>
    </row>
    <row r="27" spans="1:12">
      <c r="A27" t="s">
        <v>24</v>
      </c>
      <c r="B27" s="50">
        <v>6.49</v>
      </c>
      <c r="C27" s="50">
        <v>12.99</v>
      </c>
      <c r="D27" s="49">
        <f t="shared" si="2"/>
        <v>0.5</v>
      </c>
      <c r="E27">
        <v>288</v>
      </c>
      <c r="F27" s="50">
        <f>PRODUCT(B27,E27)</f>
        <v>1869.1200000000001</v>
      </c>
      <c r="G27" s="50">
        <f>PRODUCT(C27,E27)</f>
        <v>3741.12</v>
      </c>
      <c r="H27" t="s">
        <v>25</v>
      </c>
      <c r="I27" s="3" t="s">
        <v>22</v>
      </c>
    </row>
    <row r="28" spans="1:12">
      <c r="A28" t="s">
        <v>27</v>
      </c>
      <c r="B28" s="50">
        <v>0.34</v>
      </c>
      <c r="C28" s="50">
        <v>1.5</v>
      </c>
      <c r="D28" s="49">
        <f t="shared" si="2"/>
        <v>0.77</v>
      </c>
      <c r="E28">
        <v>1000</v>
      </c>
      <c r="F28" s="50">
        <f>PRODUCT(B28,E28)</f>
        <v>340</v>
      </c>
      <c r="G28" s="50">
        <f>PRODUCT(C28,E28)</f>
        <v>1500</v>
      </c>
      <c r="H28" t="s">
        <v>28</v>
      </c>
    </row>
    <row r="30" spans="1:12" ht="15.75">
      <c r="A30" s="60" t="s">
        <v>29</v>
      </c>
      <c r="B30" s="60"/>
      <c r="C30" s="60"/>
      <c r="E30" s="48" t="s">
        <v>30</v>
      </c>
    </row>
    <row r="31" spans="1:12">
      <c r="A31" t="s">
        <v>0</v>
      </c>
      <c r="B31" t="s">
        <v>1</v>
      </c>
      <c r="C31" t="s">
        <v>4</v>
      </c>
      <c r="D31" t="s">
        <v>5</v>
      </c>
      <c r="E31" s="70" t="s">
        <v>5</v>
      </c>
      <c r="F31" s="80" t="s">
        <v>31</v>
      </c>
      <c r="G31" s="68" t="s">
        <v>32</v>
      </c>
    </row>
    <row r="32" spans="1:12">
      <c r="A32" t="str">
        <f t="shared" ref="A32:B36" si="3">A24</f>
        <v>A A TR401</v>
      </c>
      <c r="B32" s="50">
        <f t="shared" si="3"/>
        <v>10.97</v>
      </c>
      <c r="C32">
        <v>30</v>
      </c>
      <c r="D32" s="50">
        <f>PRODUCT(B32,C32)</f>
        <v>329.1</v>
      </c>
      <c r="E32" s="66">
        <f>SUM(F24:F28)</f>
        <v>8588.6200000000008</v>
      </c>
      <c r="F32" s="66">
        <f>G32-E32</f>
        <v>13521.499999999998</v>
      </c>
      <c r="G32" s="66">
        <f>SUM(G24:G28)</f>
        <v>22110.12</v>
      </c>
    </row>
    <row r="33" spans="1:12">
      <c r="A33" t="str">
        <f t="shared" si="3"/>
        <v>A A 2001</v>
      </c>
      <c r="B33" s="50">
        <f t="shared" si="3"/>
        <v>9.2100000000000009</v>
      </c>
      <c r="C33">
        <v>30</v>
      </c>
      <c r="D33" s="50">
        <f>PRODUCT(B33,C33)</f>
        <v>276.3</v>
      </c>
      <c r="E33" s="3"/>
      <c r="G33" s="3"/>
      <c r="H33" s="3"/>
    </row>
    <row r="34" spans="1:12">
      <c r="A34" t="str">
        <f t="shared" si="3"/>
        <v>Otto 18-711</v>
      </c>
      <c r="B34" s="50">
        <f t="shared" si="3"/>
        <v>12.26</v>
      </c>
      <c r="C34">
        <v>25</v>
      </c>
      <c r="D34" s="50">
        <f>PRODUCT(B34,C34)</f>
        <v>306.5</v>
      </c>
      <c r="E34" s="54" t="s">
        <v>34</v>
      </c>
      <c r="G34" s="3"/>
      <c r="H34" s="3"/>
    </row>
    <row r="35" spans="1:12">
      <c r="A35" t="str">
        <f t="shared" si="3"/>
        <v>Perfect Bottle</v>
      </c>
      <c r="B35" s="50">
        <f t="shared" si="3"/>
        <v>6.49</v>
      </c>
      <c r="C35">
        <v>25</v>
      </c>
      <c r="D35" s="50">
        <f>PRODUCT(B35,C35)</f>
        <v>162.25</v>
      </c>
      <c r="E35" s="85" t="s">
        <v>35</v>
      </c>
      <c r="F35" s="86" t="s">
        <v>36</v>
      </c>
      <c r="G35" s="84" t="s">
        <v>37</v>
      </c>
    </row>
    <row r="36" spans="1:12">
      <c r="A36" t="str">
        <f t="shared" si="3"/>
        <v>Stickers</v>
      </c>
      <c r="B36" s="50">
        <f t="shared" si="3"/>
        <v>0.34</v>
      </c>
      <c r="C36">
        <v>50</v>
      </c>
      <c r="D36" s="50">
        <f>PRODUCT(B36,C36)</f>
        <v>17</v>
      </c>
      <c r="E36" s="71">
        <f>SUM(D32:D36, E32)</f>
        <v>9679.77</v>
      </c>
      <c r="F36" s="71">
        <f>G32-E36</f>
        <v>12430.349999999999</v>
      </c>
      <c r="G36" s="91">
        <f xml:space="preserve"> ROUND(F36/G32,3)</f>
        <v>0.56200000000000006</v>
      </c>
    </row>
    <row r="37" spans="1:12">
      <c r="B37" s="50"/>
      <c r="D37" s="62">
        <f>SUM(D32:D36)</f>
        <v>1091.1500000000001</v>
      </c>
    </row>
    <row r="40" spans="1:12" ht="18.75">
      <c r="A40" s="60" t="s">
        <v>46</v>
      </c>
      <c r="B40" s="96"/>
      <c r="C40" s="99" t="s">
        <v>47</v>
      </c>
      <c r="H40" s="50"/>
    </row>
    <row r="41" spans="1:12" ht="18.75">
      <c r="A41" t="s">
        <v>0</v>
      </c>
      <c r="B41" t="s">
        <v>1</v>
      </c>
      <c r="C41" t="s">
        <v>2</v>
      </c>
      <c r="D41" s="49" t="s">
        <v>3</v>
      </c>
      <c r="E41" t="s">
        <v>4</v>
      </c>
      <c r="F41" t="s">
        <v>5</v>
      </c>
      <c r="G41" s="50" t="s">
        <v>6</v>
      </c>
      <c r="H41" s="50" t="s">
        <v>7</v>
      </c>
      <c r="I41" s="94" t="s">
        <v>8</v>
      </c>
      <c r="J41" s="95" t="s">
        <v>9</v>
      </c>
      <c r="L41" s="97" t="s">
        <v>7</v>
      </c>
    </row>
    <row r="42" spans="1:12">
      <c r="A42" s="92" t="s">
        <v>38</v>
      </c>
      <c r="B42" s="50">
        <v>11.91</v>
      </c>
      <c r="C42" s="50">
        <v>24.99</v>
      </c>
      <c r="D42" s="49">
        <f t="shared" ref="D42:D46" si="4">IFERROR(ROUND((C42-B42)/C42, 2), 0)</f>
        <v>0.52</v>
      </c>
      <c r="E42">
        <v>225</v>
      </c>
      <c r="F42" s="50">
        <f>PRODUCT(B42,E42)</f>
        <v>2679.75</v>
      </c>
      <c r="G42" s="50">
        <f>PRODUCT(C42,E42)</f>
        <v>5622.75</v>
      </c>
      <c r="H42" s="50" t="s">
        <v>11</v>
      </c>
      <c r="I42" s="3" t="s">
        <v>48</v>
      </c>
      <c r="J42" s="3" t="s">
        <v>49</v>
      </c>
      <c r="L42" t="s">
        <v>50</v>
      </c>
    </row>
    <row r="43" spans="1:12">
      <c r="A43" t="s">
        <v>51</v>
      </c>
      <c r="B43" s="50">
        <v>13.05</v>
      </c>
      <c r="C43" s="50">
        <v>34.99</v>
      </c>
      <c r="D43" s="49">
        <f t="shared" si="4"/>
        <v>0.63</v>
      </c>
      <c r="E43">
        <v>225</v>
      </c>
      <c r="F43" s="50">
        <f>PRODUCT(B43,E43)</f>
        <v>2936.25</v>
      </c>
      <c r="G43" s="50">
        <f>PRODUCT(C43,E43)</f>
        <v>7872.75</v>
      </c>
      <c r="H43" s="50" t="s">
        <v>52</v>
      </c>
      <c r="I43" s="3" t="s">
        <v>53</v>
      </c>
      <c r="J43" s="3" t="s">
        <v>54</v>
      </c>
      <c r="L43" t="s">
        <v>55</v>
      </c>
    </row>
    <row r="44" spans="1:12">
      <c r="A44" t="s">
        <v>56</v>
      </c>
      <c r="B44" s="50">
        <v>19.48</v>
      </c>
      <c r="C44" s="50">
        <v>29.99</v>
      </c>
      <c r="D44" s="49">
        <f t="shared" si="4"/>
        <v>0.35</v>
      </c>
      <c r="E44">
        <v>150</v>
      </c>
      <c r="F44" s="50">
        <f>PRODUCT(B44,E44)</f>
        <v>2922</v>
      </c>
      <c r="G44" s="50">
        <f>PRODUCT(C44,E44)</f>
        <v>4498.5</v>
      </c>
      <c r="H44" s="50" t="s">
        <v>21</v>
      </c>
      <c r="I44" s="3" t="s">
        <v>57</v>
      </c>
      <c r="J44" s="3" t="s">
        <v>58</v>
      </c>
    </row>
    <row r="45" spans="1:12">
      <c r="A45" t="s">
        <v>59</v>
      </c>
      <c r="B45" s="50">
        <v>6.49</v>
      </c>
      <c r="C45" s="50">
        <v>12.99</v>
      </c>
      <c r="D45" s="49">
        <f t="shared" si="4"/>
        <v>0.5</v>
      </c>
      <c r="E45">
        <v>288</v>
      </c>
      <c r="F45" s="50">
        <f>PRODUCT(B45,E45)</f>
        <v>1869.1200000000001</v>
      </c>
      <c r="G45" s="50">
        <f>PRODUCT(C45,E45)</f>
        <v>3741.12</v>
      </c>
      <c r="H45" t="s">
        <v>25</v>
      </c>
      <c r="I45" s="3" t="s">
        <v>60</v>
      </c>
      <c r="J45" s="3" t="s">
        <v>61</v>
      </c>
    </row>
    <row r="46" spans="1:12">
      <c r="A46" t="s">
        <v>27</v>
      </c>
      <c r="B46" s="50">
        <v>0.34</v>
      </c>
      <c r="C46" s="50">
        <v>1.5</v>
      </c>
      <c r="D46" s="49">
        <f t="shared" si="4"/>
        <v>0.77</v>
      </c>
      <c r="E46">
        <v>1000</v>
      </c>
      <c r="F46" s="50">
        <f>PRODUCT(B46,E46)</f>
        <v>340</v>
      </c>
      <c r="G46" s="50">
        <f>PRODUCT(C46,E46)</f>
        <v>1500</v>
      </c>
      <c r="H46" t="s">
        <v>28</v>
      </c>
      <c r="J46" s="3" t="s">
        <v>62</v>
      </c>
    </row>
    <row r="48" spans="1:12" ht="15.75">
      <c r="A48" s="60" t="s">
        <v>29</v>
      </c>
      <c r="B48" s="60"/>
      <c r="C48" s="60"/>
      <c r="E48" s="48" t="s">
        <v>30</v>
      </c>
    </row>
    <row r="49" spans="1:8">
      <c r="A49" t="s">
        <v>0</v>
      </c>
      <c r="B49" t="s">
        <v>1</v>
      </c>
      <c r="C49" t="s">
        <v>4</v>
      </c>
      <c r="D49" t="s">
        <v>5</v>
      </c>
      <c r="E49" s="70" t="s">
        <v>5</v>
      </c>
      <c r="F49" s="80" t="s">
        <v>31</v>
      </c>
      <c r="G49" s="68" t="s">
        <v>32</v>
      </c>
    </row>
    <row r="50" spans="1:8">
      <c r="A50" t="str">
        <f t="shared" ref="A50:B54" si="5">A42</f>
        <v>A A TR401</v>
      </c>
      <c r="B50" s="50">
        <f t="shared" si="5"/>
        <v>11.91</v>
      </c>
      <c r="C50">
        <v>30</v>
      </c>
      <c r="D50" s="50">
        <f>PRODUCT(B50,C50)</f>
        <v>357.3</v>
      </c>
      <c r="E50" s="66">
        <f>SUM(F42:F46)</f>
        <v>10747.12</v>
      </c>
      <c r="F50" s="66">
        <f>G50-E50</f>
        <v>12487.999999999998</v>
      </c>
      <c r="G50" s="66">
        <f>SUM(G42:G46)</f>
        <v>23235.119999999999</v>
      </c>
    </row>
    <row r="51" spans="1:8">
      <c r="A51" t="str">
        <f t="shared" si="5"/>
        <v>Hanes 5180</v>
      </c>
      <c r="B51" s="50">
        <f t="shared" si="5"/>
        <v>13.05</v>
      </c>
      <c r="C51">
        <v>30</v>
      </c>
      <c r="D51" s="50">
        <f>PRODUCT(B51,C51)</f>
        <v>391.5</v>
      </c>
      <c r="E51" s="3"/>
      <c r="G51" s="3"/>
      <c r="H51" s="3"/>
    </row>
    <row r="52" spans="1:8">
      <c r="A52" t="str">
        <f t="shared" si="5"/>
        <v>Yupoong 6245CM</v>
      </c>
      <c r="B52" s="50">
        <f t="shared" si="5"/>
        <v>19.48</v>
      </c>
      <c r="C52">
        <v>25</v>
      </c>
      <c r="D52" s="50">
        <f>PRODUCT(B52,C52)</f>
        <v>487</v>
      </c>
      <c r="E52" s="54" t="s">
        <v>34</v>
      </c>
      <c r="G52" s="3"/>
      <c r="H52" s="3"/>
    </row>
    <row r="53" spans="1:8">
      <c r="A53" t="str">
        <f t="shared" si="5"/>
        <v>Blender Bottle</v>
      </c>
      <c r="B53" s="50">
        <f t="shared" si="5"/>
        <v>6.49</v>
      </c>
      <c r="C53">
        <v>25</v>
      </c>
      <c r="D53" s="50">
        <f>PRODUCT(B53,C53)</f>
        <v>162.25</v>
      </c>
      <c r="E53" s="85" t="s">
        <v>35</v>
      </c>
      <c r="F53" s="86" t="s">
        <v>36</v>
      </c>
      <c r="G53" s="84" t="s">
        <v>37</v>
      </c>
    </row>
    <row r="54" spans="1:8">
      <c r="A54" t="str">
        <f t="shared" si="5"/>
        <v>Stickers</v>
      </c>
      <c r="B54" s="50">
        <f t="shared" si="5"/>
        <v>0.34</v>
      </c>
      <c r="C54">
        <v>50</v>
      </c>
      <c r="D54" s="50">
        <f>PRODUCT(B54,C54)</f>
        <v>17</v>
      </c>
      <c r="E54" s="71">
        <f>SUM(D50:D54, E50)</f>
        <v>12162.17</v>
      </c>
      <c r="F54" s="71">
        <f>G50-E54</f>
        <v>11072.949999999999</v>
      </c>
      <c r="G54" s="91">
        <f xml:space="preserve"> ROUND(F54/G50,3)</f>
        <v>0.47699999999999998</v>
      </c>
    </row>
    <row r="55" spans="1:8">
      <c r="B55" s="50"/>
      <c r="D55" s="62">
        <f>SUM(D50:D54)</f>
        <v>1415.05</v>
      </c>
    </row>
  </sheetData>
  <phoneticPr fontId="19" type="noConversion"/>
  <pageMargins left="0.7" right="0.7" top="0.75" bottom="0.75" header="0.3" footer="0.3"/>
  <tableParts count="7">
    <tablePart r:id="rId1"/>
    <tablePart r:id="rId2"/>
    <tablePart r:id="rId3"/>
    <tablePart r:id="rId4"/>
    <tablePart r:id="rId5"/>
    <tablePart r:id="rId6"/>
    <tablePart r:id="rId7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DD2223-F8DC-40E8-B930-2AE625482B28}">
  <dimension ref="A2:H26"/>
  <sheetViews>
    <sheetView topLeftCell="A5" zoomScaleNormal="100" workbookViewId="0">
      <selection activeCell="B14" sqref="B14"/>
    </sheetView>
  </sheetViews>
  <sheetFormatPr defaultRowHeight="15"/>
  <cols>
    <col min="1" max="2" width="20.7109375" customWidth="1"/>
    <col min="3" max="3" width="27.7109375" customWidth="1"/>
    <col min="4" max="6" width="20.7109375" customWidth="1"/>
    <col min="7" max="7" width="25.7109375" customWidth="1"/>
    <col min="8" max="9" width="11" customWidth="1"/>
    <col min="10" max="11" width="12" customWidth="1"/>
  </cols>
  <sheetData>
    <row r="2" spans="1:7">
      <c r="A2" s="48" t="s">
        <v>63</v>
      </c>
      <c r="B2" t="s">
        <v>11</v>
      </c>
    </row>
    <row r="3" spans="1:7">
      <c r="A3" s="3" t="s">
        <v>64</v>
      </c>
      <c r="B3" s="3" t="s">
        <v>65</v>
      </c>
      <c r="C3" s="3" t="s">
        <v>66</v>
      </c>
      <c r="D3" s="3" t="s">
        <v>67</v>
      </c>
      <c r="E3" s="3" t="s">
        <v>68</v>
      </c>
      <c r="F3" s="3" t="s">
        <v>7</v>
      </c>
      <c r="G3" s="3" t="s">
        <v>69</v>
      </c>
    </row>
    <row r="4" spans="1:7">
      <c r="A4" s="13" t="s">
        <v>70</v>
      </c>
      <c r="B4" s="66">
        <v>10.97</v>
      </c>
      <c r="C4" s="100" t="s">
        <v>71</v>
      </c>
      <c r="D4" s="3" t="s">
        <v>72</v>
      </c>
      <c r="E4" s="3" t="s">
        <v>73</v>
      </c>
      <c r="G4" s="39" t="s">
        <v>74</v>
      </c>
    </row>
    <row r="5" spans="1:7">
      <c r="A5" s="103" t="s">
        <v>75</v>
      </c>
      <c r="B5" s="66">
        <v>10.97</v>
      </c>
      <c r="C5" s="100" t="s">
        <v>76</v>
      </c>
      <c r="D5" s="93" t="s">
        <v>77</v>
      </c>
      <c r="E5" s="3" t="s">
        <v>73</v>
      </c>
      <c r="F5" t="s">
        <v>78</v>
      </c>
      <c r="G5" s="101" t="s">
        <v>79</v>
      </c>
    </row>
    <row r="6" spans="1:7">
      <c r="A6" s="103" t="s">
        <v>80</v>
      </c>
      <c r="B6" s="66">
        <v>10.37</v>
      </c>
      <c r="C6" s="100" t="s">
        <v>81</v>
      </c>
      <c r="D6" s="3" t="s">
        <v>82</v>
      </c>
      <c r="E6" s="3" t="s">
        <v>73</v>
      </c>
      <c r="F6" t="s">
        <v>78</v>
      </c>
      <c r="G6" s="101" t="s">
        <v>83</v>
      </c>
    </row>
    <row r="7" spans="1:7">
      <c r="A7" s="102" t="s">
        <v>84</v>
      </c>
      <c r="B7" s="66">
        <v>8.57</v>
      </c>
      <c r="C7" s="100" t="s">
        <v>85</v>
      </c>
      <c r="D7" s="3" t="s">
        <v>82</v>
      </c>
      <c r="E7" s="3" t="s">
        <v>73</v>
      </c>
      <c r="F7" t="s">
        <v>78</v>
      </c>
      <c r="G7" s="101" t="s">
        <v>86</v>
      </c>
    </row>
    <row r="8" spans="1:7">
      <c r="E8" s="3"/>
    </row>
    <row r="9" spans="1:7">
      <c r="A9" s="48" t="s">
        <v>87</v>
      </c>
      <c r="B9" t="s">
        <v>42</v>
      </c>
      <c r="E9" s="3"/>
    </row>
    <row r="10" spans="1:7">
      <c r="A10" s="3" t="s">
        <v>64</v>
      </c>
      <c r="B10" s="3" t="s">
        <v>65</v>
      </c>
      <c r="C10" s="3" t="s">
        <v>66</v>
      </c>
      <c r="D10" s="3" t="s">
        <v>67</v>
      </c>
      <c r="E10" s="3" t="s">
        <v>68</v>
      </c>
      <c r="F10" s="3" t="s">
        <v>7</v>
      </c>
      <c r="G10" s="3" t="s">
        <v>69</v>
      </c>
    </row>
    <row r="11" spans="1:7">
      <c r="A11" s="13" t="s">
        <v>88</v>
      </c>
      <c r="B11" s="66">
        <v>13.36</v>
      </c>
      <c r="C11" s="3" t="s">
        <v>89</v>
      </c>
      <c r="D11" s="93" t="s">
        <v>77</v>
      </c>
      <c r="E11" s="3" t="s">
        <v>73</v>
      </c>
      <c r="G11" s="101" t="s">
        <v>90</v>
      </c>
    </row>
    <row r="12" spans="1:7">
      <c r="A12" s="13" t="s">
        <v>91</v>
      </c>
      <c r="B12" s="66">
        <v>12.28</v>
      </c>
      <c r="C12" s="3" t="s">
        <v>89</v>
      </c>
      <c r="D12" s="3" t="s">
        <v>92</v>
      </c>
      <c r="E12" s="3" t="s">
        <v>73</v>
      </c>
      <c r="G12" s="101" t="s">
        <v>93</v>
      </c>
    </row>
    <row r="13" spans="1:7">
      <c r="A13" s="103" t="s">
        <v>94</v>
      </c>
      <c r="B13" s="66">
        <v>10.85</v>
      </c>
      <c r="C13" s="3" t="s">
        <v>89</v>
      </c>
      <c r="D13" s="3" t="s">
        <v>82</v>
      </c>
      <c r="E13" s="3" t="s">
        <v>73</v>
      </c>
      <c r="G13" s="101" t="s">
        <v>95</v>
      </c>
    </row>
    <row r="14" spans="1:7">
      <c r="A14" s="13" t="s">
        <v>51</v>
      </c>
      <c r="B14" s="66">
        <v>9.94</v>
      </c>
      <c r="C14" s="3" t="s">
        <v>89</v>
      </c>
      <c r="D14" s="3" t="s">
        <v>96</v>
      </c>
      <c r="E14" s="3" t="s">
        <v>73</v>
      </c>
      <c r="G14" s="39" t="s">
        <v>97</v>
      </c>
    </row>
    <row r="15" spans="1:7">
      <c r="A15" s="13" t="s">
        <v>98</v>
      </c>
      <c r="B15" s="66">
        <v>9.8699999999999992</v>
      </c>
      <c r="C15" s="3" t="s">
        <v>89</v>
      </c>
      <c r="D15" s="3" t="s">
        <v>92</v>
      </c>
      <c r="E15" s="3" t="s">
        <v>73</v>
      </c>
      <c r="G15" s="39" t="s">
        <v>99</v>
      </c>
    </row>
    <row r="16" spans="1:7">
      <c r="A16" s="13" t="s">
        <v>100</v>
      </c>
      <c r="B16" s="66">
        <v>9.2100000000000009</v>
      </c>
      <c r="C16" s="3" t="s">
        <v>89</v>
      </c>
      <c r="D16" s="93" t="s">
        <v>77</v>
      </c>
      <c r="E16" s="3" t="s">
        <v>73</v>
      </c>
      <c r="G16" s="39" t="s">
        <v>101</v>
      </c>
    </row>
    <row r="19" spans="1:8">
      <c r="A19" s="48" t="s">
        <v>102</v>
      </c>
      <c r="B19" t="s">
        <v>103</v>
      </c>
      <c r="C19" s="3"/>
      <c r="E19" s="3"/>
    </row>
    <row r="20" spans="1:8">
      <c r="A20" s="54" t="s">
        <v>64</v>
      </c>
      <c r="B20" s="54" t="s">
        <v>104</v>
      </c>
      <c r="C20" s="54" t="s">
        <v>66</v>
      </c>
      <c r="D20" s="54" t="s">
        <v>105</v>
      </c>
      <c r="E20" s="54" t="s">
        <v>68</v>
      </c>
      <c r="F20" s="54" t="s">
        <v>7</v>
      </c>
      <c r="G20" s="54" t="s">
        <v>69</v>
      </c>
    </row>
    <row r="21" spans="1:8">
      <c r="A21" t="s">
        <v>106</v>
      </c>
      <c r="B21" s="66">
        <v>13.21</v>
      </c>
      <c r="C21" s="3" t="s">
        <v>107</v>
      </c>
      <c r="D21" s="3" t="s">
        <v>96</v>
      </c>
      <c r="E21" s="3" t="s">
        <v>73</v>
      </c>
      <c r="G21" s="39" t="s">
        <v>108</v>
      </c>
    </row>
    <row r="22" spans="1:8">
      <c r="A22" t="s">
        <v>109</v>
      </c>
      <c r="B22" s="66">
        <v>12.96</v>
      </c>
      <c r="C22" s="3" t="s">
        <v>89</v>
      </c>
      <c r="D22" s="3" t="s">
        <v>96</v>
      </c>
      <c r="E22" s="3" t="s">
        <v>73</v>
      </c>
      <c r="G22" s="101" t="s">
        <v>110</v>
      </c>
    </row>
    <row r="25" spans="1:8">
      <c r="H25">
        <f>SUM(24.99,24.99,29.99,5)</f>
        <v>84.97</v>
      </c>
    </row>
    <row r="26" spans="1:8">
      <c r="H26">
        <f>SUM(24.99,39.99,13.99,5)</f>
        <v>83.97</v>
      </c>
    </row>
  </sheetData>
  <phoneticPr fontId="19" type="noConversion"/>
  <hyperlinks>
    <hyperlink ref="G7" r:id="rId1" xr:uid="{F46D0943-69D8-4438-BE35-CBAD3B9E2799}"/>
    <hyperlink ref="G6" r:id="rId2" xr:uid="{3BB11E1F-6CB0-4304-A530-A070DAF81DF1}"/>
    <hyperlink ref="G4" r:id="rId3" xr:uid="{567555AC-1BAE-4931-8A7F-CF6D403FAA51}"/>
    <hyperlink ref="G5" r:id="rId4" xr:uid="{EAEAF95E-82FB-47B7-AFA2-C4A902092C18}"/>
    <hyperlink ref="G11" r:id="rId5" xr:uid="{117B506B-BABD-4A3B-A671-82DFE3ECE774}"/>
    <hyperlink ref="G16" r:id="rId6" xr:uid="{D48399C8-75EC-4D90-A793-D996A33F155C}"/>
    <hyperlink ref="G15" r:id="rId7" xr:uid="{37ED6FD5-D0F6-4B08-8F52-43B833AD3113}"/>
    <hyperlink ref="G13" r:id="rId8" xr:uid="{23E6DE96-80A3-4B6D-9E36-2F104650321C}"/>
    <hyperlink ref="G22" r:id="rId9" xr:uid="{37377472-7388-4DC5-80A7-B7BF0FBA4E66}"/>
    <hyperlink ref="G21" r:id="rId10" xr:uid="{F2F1DB82-0A54-4724-9188-D368FDC41E8A}"/>
    <hyperlink ref="G14" r:id="rId11" xr:uid="{629A6DAD-13B8-4889-B3EF-39C4B313DE0F}"/>
    <hyperlink ref="G12" r:id="rId12" xr:uid="{A7D3FCE5-2A0A-474C-A987-654704BBCDCB}"/>
  </hyperlinks>
  <pageMargins left="0.7" right="0.7" top="0.75" bottom="0.75" header="0.3" footer="0.3"/>
  <tableParts count="3">
    <tablePart r:id="rId13"/>
    <tablePart r:id="rId14"/>
    <tablePart r:id="rId15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A1A782-C36A-4BF1-B908-5D6993453367}">
  <dimension ref="A1:X72"/>
  <sheetViews>
    <sheetView tabSelected="1" zoomScale="85" zoomScaleNormal="85" workbookViewId="0">
      <selection activeCell="O3" sqref="O3:P9"/>
    </sheetView>
  </sheetViews>
  <sheetFormatPr defaultRowHeight="15"/>
  <cols>
    <col min="1" max="1" width="15.7109375" customWidth="1"/>
    <col min="2" max="3" width="10.7109375" customWidth="1"/>
    <col min="4" max="4" width="18.140625" bestFit="1" customWidth="1"/>
    <col min="5" max="5" width="10.7109375" customWidth="1"/>
    <col min="6" max="6" width="23.28515625" bestFit="1" customWidth="1"/>
    <col min="7" max="7" width="17.5703125" customWidth="1"/>
    <col min="8" max="8" width="12.7109375" customWidth="1"/>
    <col min="9" max="9" width="7.7109375" customWidth="1"/>
    <col min="10" max="10" width="11.7109375" customWidth="1"/>
    <col min="11" max="11" width="17.7109375" customWidth="1"/>
    <col min="12" max="12" width="13.7109375" customWidth="1"/>
    <col min="13" max="13" width="10.7109375" customWidth="1"/>
    <col min="14" max="14" width="7.7109375" customWidth="1"/>
    <col min="15" max="15" width="10.7109375" customWidth="1"/>
    <col min="16" max="16" width="10.140625" customWidth="1"/>
    <col min="17" max="19" width="9" bestFit="1" customWidth="1"/>
    <col min="20" max="20" width="11.7109375" customWidth="1"/>
    <col min="21" max="21" width="9.42578125" bestFit="1" customWidth="1"/>
    <col min="22" max="23" width="12.7109375" customWidth="1"/>
    <col min="25" max="26" width="11" customWidth="1"/>
  </cols>
  <sheetData>
    <row r="1" spans="1:24">
      <c r="H1" s="50"/>
      <c r="I1" s="50"/>
    </row>
    <row r="2" spans="1:24" ht="15.75">
      <c r="A2" s="60" t="s">
        <v>111</v>
      </c>
      <c r="H2" s="50"/>
      <c r="I2" s="50"/>
      <c r="J2" s="48" t="s">
        <v>30</v>
      </c>
      <c r="O2" t="s">
        <v>112</v>
      </c>
      <c r="R2" s="60" t="s">
        <v>29</v>
      </c>
    </row>
    <row r="3" spans="1:24">
      <c r="A3" s="3" t="s">
        <v>0</v>
      </c>
      <c r="B3" s="3" t="s">
        <v>35</v>
      </c>
      <c r="C3" s="3" t="s">
        <v>2</v>
      </c>
      <c r="D3" s="82" t="s">
        <v>3</v>
      </c>
      <c r="E3" s="3" t="s">
        <v>4</v>
      </c>
      <c r="F3" s="3" t="s">
        <v>5</v>
      </c>
      <c r="G3" s="66" t="s">
        <v>6</v>
      </c>
      <c r="H3" s="50"/>
      <c r="I3" s="50"/>
      <c r="J3" s="70" t="s">
        <v>5</v>
      </c>
      <c r="K3" s="80" t="s">
        <v>31</v>
      </c>
      <c r="L3" s="68" t="s">
        <v>32</v>
      </c>
      <c r="M3" s="3"/>
      <c r="O3" s="3" t="s">
        <v>113</v>
      </c>
      <c r="P3" s="3" t="s">
        <v>31</v>
      </c>
      <c r="R3" s="3" t="s">
        <v>0</v>
      </c>
      <c r="S3" s="3" t="s">
        <v>35</v>
      </c>
      <c r="T3" s="3" t="s">
        <v>4</v>
      </c>
      <c r="U3" s="3" t="s">
        <v>30</v>
      </c>
      <c r="W3" s="50">
        <f>PRODUCT(SUM(F4:F6,T4:T6),0.11)</f>
        <v>739.64</v>
      </c>
    </row>
    <row r="4" spans="1:24">
      <c r="A4" s="3" t="s">
        <v>114</v>
      </c>
      <c r="B4" s="66">
        <v>11.36</v>
      </c>
      <c r="C4" s="66">
        <v>24.99</v>
      </c>
      <c r="D4" s="82">
        <f t="shared" ref="D4:D8" si="0">IFERROR(ROUND((C4-B4)/C4, 2), 0)</f>
        <v>0.55000000000000004</v>
      </c>
      <c r="E4" s="3">
        <v>200</v>
      </c>
      <c r="F4" s="66">
        <f>PRODUCT(B4,E4)</f>
        <v>2272</v>
      </c>
      <c r="G4" s="66">
        <f>PRODUCT(C4,E4)</f>
        <v>4998</v>
      </c>
      <c r="H4" s="50"/>
      <c r="I4" s="50"/>
      <c r="J4" s="66">
        <f>SUM(F4:F8)</f>
        <v>8595.6</v>
      </c>
      <c r="K4" s="66">
        <f>L4-J4</f>
        <v>12256.999999999998</v>
      </c>
      <c r="L4" s="66">
        <f>SUM(G4:G8)</f>
        <v>20852.599999999999</v>
      </c>
      <c r="M4" s="82"/>
      <c r="O4" s="3" t="s">
        <v>115</v>
      </c>
      <c r="P4" s="66">
        <f>G12-J8</f>
        <v>-8534.1839999999993</v>
      </c>
      <c r="R4" s="13" t="str">
        <f t="shared" ref="R4:S8" si="1">A4</f>
        <v>Blended T-shirt</v>
      </c>
      <c r="S4" s="66">
        <f t="shared" si="1"/>
        <v>11.36</v>
      </c>
      <c r="T4" s="3">
        <v>50</v>
      </c>
      <c r="U4" s="66">
        <f>PRODUCT(S4,T4)</f>
        <v>568</v>
      </c>
      <c r="W4" s="50">
        <f>SUM(F7,F8,W3,T7,T8)</f>
        <v>2851.2400000000002</v>
      </c>
    </row>
    <row r="5" spans="1:24">
      <c r="A5" s="3" t="s">
        <v>116</v>
      </c>
      <c r="B5" s="66">
        <v>15.48</v>
      </c>
      <c r="C5" s="66">
        <v>39.99</v>
      </c>
      <c r="D5" s="82">
        <f t="shared" si="0"/>
        <v>0.61</v>
      </c>
      <c r="E5" s="3">
        <v>200</v>
      </c>
      <c r="F5" s="66">
        <f>PRODUCT(B5,E5)</f>
        <v>3096</v>
      </c>
      <c r="G5" s="66">
        <f>PRODUCT(C5,E5)</f>
        <v>7998</v>
      </c>
      <c r="H5" s="50"/>
      <c r="I5" s="50"/>
      <c r="J5" s="3"/>
      <c r="L5" s="3"/>
      <c r="M5" s="3"/>
      <c r="O5" s="3" t="s">
        <v>117</v>
      </c>
      <c r="P5" s="66">
        <f>G13-J8</f>
        <v>-6323.36</v>
      </c>
      <c r="R5" s="13" t="str">
        <f t="shared" si="1"/>
        <v>Cotton T-shirt</v>
      </c>
      <c r="S5" s="66">
        <f t="shared" si="1"/>
        <v>15.48</v>
      </c>
      <c r="T5" s="3">
        <v>50</v>
      </c>
      <c r="U5" s="66">
        <f>PRODUCT(S5,T5)</f>
        <v>774</v>
      </c>
    </row>
    <row r="6" spans="1:24">
      <c r="A6" s="3" t="s">
        <v>102</v>
      </c>
      <c r="B6" s="66">
        <v>12.26</v>
      </c>
      <c r="C6" s="66">
        <v>29.99</v>
      </c>
      <c r="D6" s="82">
        <f t="shared" si="0"/>
        <v>0.59</v>
      </c>
      <c r="E6" s="3">
        <v>100</v>
      </c>
      <c r="F6" s="66">
        <f>PRODUCT(B6,E6)</f>
        <v>1226</v>
      </c>
      <c r="G6" s="66">
        <f>PRODUCT(C6,E6)</f>
        <v>2999</v>
      </c>
      <c r="H6" s="50"/>
      <c r="I6" s="50"/>
      <c r="J6" s="54" t="s">
        <v>34</v>
      </c>
      <c r="L6" s="3"/>
      <c r="M6" s="3"/>
      <c r="O6" s="3" t="s">
        <v>118</v>
      </c>
      <c r="P6" s="66">
        <f>G14-J8</f>
        <v>-4044.16</v>
      </c>
      <c r="R6" s="13" t="str">
        <f t="shared" si="1"/>
        <v>Hat</v>
      </c>
      <c r="S6" s="66">
        <f t="shared" si="1"/>
        <v>12.26</v>
      </c>
      <c r="T6" s="3">
        <v>30</v>
      </c>
      <c r="U6" s="66">
        <f>PRODUCT(S6,T6)</f>
        <v>367.8</v>
      </c>
      <c r="W6" s="50">
        <f>J8-W3</f>
        <v>10028.16</v>
      </c>
    </row>
    <row r="7" spans="1:24">
      <c r="A7" s="3" t="s">
        <v>119</v>
      </c>
      <c r="B7" s="66">
        <v>6.44</v>
      </c>
      <c r="C7" s="66">
        <v>13.99</v>
      </c>
      <c r="D7" s="82">
        <f t="shared" si="0"/>
        <v>0.54</v>
      </c>
      <c r="E7" s="3">
        <v>240</v>
      </c>
      <c r="F7" s="66">
        <f>PRODUCT(B7,E7)</f>
        <v>1545.6000000000001</v>
      </c>
      <c r="G7" s="66">
        <f>PRODUCT(C7,E7)</f>
        <v>3357.6</v>
      </c>
      <c r="J7" s="85" t="s">
        <v>35</v>
      </c>
      <c r="K7" s="83" t="s">
        <v>120</v>
      </c>
      <c r="L7" s="84" t="s">
        <v>3</v>
      </c>
      <c r="O7" s="3" t="s">
        <v>121</v>
      </c>
      <c r="P7" s="66">
        <f>G15-J8</f>
        <v>-1673.7919999999995</v>
      </c>
      <c r="R7" s="13" t="str">
        <f t="shared" si="1"/>
        <v>Shaker Bottle</v>
      </c>
      <c r="S7" s="66">
        <f t="shared" si="1"/>
        <v>6.44</v>
      </c>
      <c r="T7" s="3">
        <v>60</v>
      </c>
      <c r="U7" s="66">
        <f>PRODUCT(S7,T7)</f>
        <v>386.40000000000003</v>
      </c>
      <c r="W7" s="50">
        <f>J9-W4</f>
        <v>-2851.2400000000002</v>
      </c>
    </row>
    <row r="8" spans="1:24">
      <c r="A8" s="3" t="s">
        <v>27</v>
      </c>
      <c r="B8" s="66">
        <v>1.52</v>
      </c>
      <c r="C8" s="66">
        <v>5</v>
      </c>
      <c r="D8" s="82">
        <f t="shared" si="0"/>
        <v>0.7</v>
      </c>
      <c r="E8" s="3">
        <v>300</v>
      </c>
      <c r="F8" s="66">
        <f>PRODUCT(B8,E8)</f>
        <v>456</v>
      </c>
      <c r="G8" s="66">
        <f>PRODUCT(C8,E8)</f>
        <v>1500</v>
      </c>
      <c r="J8" s="71">
        <f>SUM(F4:F8,U4:U8)</f>
        <v>10767.8</v>
      </c>
      <c r="K8" s="71">
        <f>L4-J8</f>
        <v>10084.799999999999</v>
      </c>
      <c r="L8" s="91">
        <f xml:space="preserve"> ROUND(K8/L4,3)</f>
        <v>0.48399999999999999</v>
      </c>
      <c r="O8" s="3" t="s">
        <v>122</v>
      </c>
      <c r="P8" s="66">
        <f>G16-J8</f>
        <v>787.7440000000006</v>
      </c>
      <c r="R8" s="13" t="str">
        <f t="shared" si="1"/>
        <v>Stickers</v>
      </c>
      <c r="S8" s="66">
        <f t="shared" si="1"/>
        <v>1.52</v>
      </c>
      <c r="T8" s="3">
        <v>50</v>
      </c>
      <c r="U8" s="66">
        <f>PRODUCT(S8,T8)</f>
        <v>76</v>
      </c>
    </row>
    <row r="9" spans="1:24">
      <c r="O9" s="3" t="s">
        <v>123</v>
      </c>
      <c r="P9" s="66">
        <f>G17-J8</f>
        <v>3340.4480000000003</v>
      </c>
      <c r="R9" s="3"/>
      <c r="S9" s="66"/>
      <c r="T9" s="3">
        <f>SUM(T4:T8)</f>
        <v>240</v>
      </c>
      <c r="U9" s="71">
        <f>SUM(U4:U8)</f>
        <v>2172.1999999999998</v>
      </c>
    </row>
    <row r="11" spans="1:24" ht="15.75">
      <c r="A11" s="106" t="s">
        <v>124</v>
      </c>
      <c r="B11" s="3" t="s">
        <v>125</v>
      </c>
      <c r="C11" s="3" t="s">
        <v>126</v>
      </c>
      <c r="D11" s="3" t="s">
        <v>127</v>
      </c>
      <c r="E11" s="3" t="s">
        <v>128</v>
      </c>
      <c r="F11" s="3" t="s">
        <v>129</v>
      </c>
      <c r="G11" s="3" t="s">
        <v>130</v>
      </c>
      <c r="J11" s="48" t="s">
        <v>131</v>
      </c>
      <c r="O11" s="48" t="s">
        <v>132</v>
      </c>
      <c r="R11" s="48" t="s">
        <v>133</v>
      </c>
    </row>
    <row r="12" spans="1:24">
      <c r="A12" s="3" t="s">
        <v>115</v>
      </c>
      <c r="B12" s="3">
        <v>21886</v>
      </c>
      <c r="C12" s="82">
        <v>4.4999999999999997E-3</v>
      </c>
      <c r="D12" s="3">
        <f>ROUND(PRODUCT(B12:C12),0)</f>
        <v>98</v>
      </c>
      <c r="E12" s="66">
        <f>AVERAGE(C4:C8)</f>
        <v>22.791999999999998</v>
      </c>
      <c r="F12" s="66">
        <f>PRODUCT(D12:E12)</f>
        <v>2233.616</v>
      </c>
      <c r="G12" s="66">
        <f t="shared" ref="G12:G17" si="2">SUM(G11,F12)</f>
        <v>2233.616</v>
      </c>
      <c r="H12" s="50"/>
      <c r="I12" s="50"/>
      <c r="J12" s="79" t="s">
        <v>134</v>
      </c>
      <c r="K12" s="80" t="s">
        <v>135</v>
      </c>
      <c r="L12" s="98" t="s">
        <v>136</v>
      </c>
      <c r="O12" s="105">
        <v>1.2</v>
      </c>
      <c r="R12" s="50">
        <v>119</v>
      </c>
    </row>
    <row r="13" spans="1:24">
      <c r="A13" s="3" t="s">
        <v>117</v>
      </c>
      <c r="B13" s="3">
        <v>21546</v>
      </c>
      <c r="C13" s="82">
        <v>4.4999999999999997E-3</v>
      </c>
      <c r="D13" s="3">
        <f t="shared" ref="D13:D17" si="3">ROUND(PRODUCT(B13:C13),0)</f>
        <v>97</v>
      </c>
      <c r="E13" s="66">
        <f>AVERAGE(C4:C8)</f>
        <v>22.791999999999998</v>
      </c>
      <c r="F13" s="66">
        <f t="shared" ref="F13:F17" si="4">PRODUCT(D13:E13)</f>
        <v>2210.8239999999996</v>
      </c>
      <c r="G13" s="66">
        <f t="shared" si="2"/>
        <v>4444.4399999999996</v>
      </c>
      <c r="H13" s="50"/>
      <c r="I13" s="50"/>
      <c r="J13" s="3" t="str" cm="1">
        <f t="array" ref="J13">INDEX(A12:A17, MATCH(TRUE, G12:G17&gt;=J8, 0))</f>
        <v>Month 5</v>
      </c>
      <c r="K13" s="66">
        <f>L13-J4</f>
        <v>5512.6479999999992</v>
      </c>
      <c r="L13" s="81">
        <f>SUM(F12:F17)</f>
        <v>14108.248</v>
      </c>
    </row>
    <row r="14" spans="1:24">
      <c r="A14" s="3" t="s">
        <v>118</v>
      </c>
      <c r="B14" s="3">
        <v>22327</v>
      </c>
      <c r="C14" s="82">
        <v>4.4999999999999997E-3</v>
      </c>
      <c r="D14" s="3">
        <f t="shared" si="3"/>
        <v>100</v>
      </c>
      <c r="E14" s="66">
        <f>AVERAGE(C4:C8)</f>
        <v>22.791999999999998</v>
      </c>
      <c r="F14" s="66">
        <f t="shared" si="4"/>
        <v>2279.1999999999998</v>
      </c>
      <c r="G14" s="66">
        <f t="shared" si="2"/>
        <v>6723.6399999999994</v>
      </c>
      <c r="H14" s="50"/>
      <c r="J14" s="54" t="s">
        <v>34</v>
      </c>
      <c r="K14" s="3"/>
      <c r="L14" s="3"/>
      <c r="M14" s="3"/>
      <c r="O14" s="48" t="s">
        <v>137</v>
      </c>
      <c r="X14" t="s">
        <v>138</v>
      </c>
    </row>
    <row r="15" spans="1:24">
      <c r="A15" s="3" t="s">
        <v>121</v>
      </c>
      <c r="B15" s="3">
        <v>23134</v>
      </c>
      <c r="C15" s="82">
        <v>4.4999999999999997E-3</v>
      </c>
      <c r="D15" s="3">
        <f t="shared" si="3"/>
        <v>104</v>
      </c>
      <c r="E15" s="66">
        <f>AVERAGE(C4:C8)</f>
        <v>22.791999999999998</v>
      </c>
      <c r="F15" s="66">
        <f t="shared" si="4"/>
        <v>2370.3679999999999</v>
      </c>
      <c r="G15" s="66">
        <f t="shared" si="2"/>
        <v>9094.0079999999998</v>
      </c>
      <c r="H15" s="50"/>
      <c r="J15" s="87" t="s">
        <v>139</v>
      </c>
      <c r="K15" s="83" t="s">
        <v>120</v>
      </c>
      <c r="L15" s="84" t="s">
        <v>3</v>
      </c>
      <c r="O15" s="48" t="s">
        <v>140</v>
      </c>
      <c r="P15" s="59" t="s">
        <v>141</v>
      </c>
      <c r="Q15" s="58" t="s">
        <v>142</v>
      </c>
      <c r="R15" s="58" t="s">
        <v>143</v>
      </c>
    </row>
    <row r="16" spans="1:24">
      <c r="A16" s="3" t="s">
        <v>122</v>
      </c>
      <c r="B16" s="3">
        <v>23969</v>
      </c>
      <c r="C16" s="82">
        <v>4.4999999999999997E-3</v>
      </c>
      <c r="D16" s="3">
        <f t="shared" si="3"/>
        <v>108</v>
      </c>
      <c r="E16" s="66">
        <f>AVERAGE(C4:C8)</f>
        <v>22.791999999999998</v>
      </c>
      <c r="F16" s="66">
        <f t="shared" si="4"/>
        <v>2461.5359999999996</v>
      </c>
      <c r="G16" s="66">
        <f t="shared" si="2"/>
        <v>11555.544</v>
      </c>
      <c r="H16" s="50"/>
      <c r="I16" s="50"/>
      <c r="J16" s="66">
        <f>AVERAGE(F12:F17)</f>
        <v>2351.3746666666666</v>
      </c>
      <c r="K16" s="71">
        <f>K13- SUM(U4:U8)</f>
        <v>3340.4479999999994</v>
      </c>
      <c r="L16" s="82">
        <f xml:space="preserve"> ROUND(K16/L13,3)</f>
        <v>0.23699999999999999</v>
      </c>
      <c r="O16" t="s">
        <v>144</v>
      </c>
      <c r="P16" s="53">
        <v>0.1</v>
      </c>
      <c r="Q16" s="55">
        <f xml:space="preserve"> ROUND(E4*P16,0)</f>
        <v>20</v>
      </c>
      <c r="R16" s="55">
        <f xml:space="preserve"> ROUND(E5*P16,0)</f>
        <v>20</v>
      </c>
    </row>
    <row r="17" spans="1:23">
      <c r="A17" s="3" t="s">
        <v>123</v>
      </c>
      <c r="B17" s="3">
        <v>24833</v>
      </c>
      <c r="C17" s="82">
        <v>4.4999999999999997E-3</v>
      </c>
      <c r="D17" s="3">
        <f t="shared" si="3"/>
        <v>112</v>
      </c>
      <c r="E17" s="66">
        <f>AVERAGE(C4:C8)</f>
        <v>22.791999999999998</v>
      </c>
      <c r="F17" s="66">
        <f t="shared" si="4"/>
        <v>2552.7039999999997</v>
      </c>
      <c r="G17" s="66">
        <f t="shared" si="2"/>
        <v>14108.248</v>
      </c>
      <c r="H17" s="50"/>
      <c r="I17" s="50"/>
      <c r="O17" t="s">
        <v>145</v>
      </c>
      <c r="P17" s="53">
        <v>0.25</v>
      </c>
      <c r="Q17" s="55">
        <f xml:space="preserve"> ROUND(E4*P17,0)</f>
        <v>50</v>
      </c>
      <c r="R17" s="55">
        <f xml:space="preserve"> ROUND(E5*P17,0)</f>
        <v>50</v>
      </c>
    </row>
    <row r="18" spans="1:23">
      <c r="K18" s="50"/>
      <c r="O18" t="s">
        <v>146</v>
      </c>
      <c r="P18" s="53">
        <v>0.25</v>
      </c>
      <c r="Q18" s="55">
        <f xml:space="preserve"> ROUND(E4*P18,0)</f>
        <v>50</v>
      </c>
      <c r="R18" s="55">
        <f xml:space="preserve"> ROUND(E5*P18,0)</f>
        <v>50</v>
      </c>
    </row>
    <row r="19" spans="1:23">
      <c r="O19" t="s">
        <v>147</v>
      </c>
      <c r="P19" s="53">
        <v>0.25</v>
      </c>
      <c r="Q19" s="55">
        <f xml:space="preserve"> ROUND(E4*P19,0)</f>
        <v>50</v>
      </c>
      <c r="R19" s="55">
        <f xml:space="preserve"> ROUND(E5*P19,0)</f>
        <v>50</v>
      </c>
    </row>
    <row r="20" spans="1:23" ht="15.75">
      <c r="J20" s="60" t="s">
        <v>63</v>
      </c>
      <c r="O20" t="s">
        <v>148</v>
      </c>
      <c r="P20" s="53">
        <v>0.15</v>
      </c>
      <c r="Q20" s="55">
        <f xml:space="preserve"> ROUND(E4*P20,0)</f>
        <v>30</v>
      </c>
      <c r="R20" s="55">
        <f xml:space="preserve"> ROUND(E5*P20,0)</f>
        <v>30</v>
      </c>
    </row>
    <row r="21" spans="1:23" ht="15.75">
      <c r="A21" s="61" t="s">
        <v>149</v>
      </c>
      <c r="B21" t="s">
        <v>125</v>
      </c>
      <c r="C21" t="s">
        <v>126</v>
      </c>
      <c r="D21" t="s">
        <v>127</v>
      </c>
      <c r="E21" t="s">
        <v>128</v>
      </c>
      <c r="F21" t="s">
        <v>129</v>
      </c>
      <c r="G21" t="s">
        <v>130</v>
      </c>
      <c r="H21" t="s">
        <v>150</v>
      </c>
      <c r="J21" s="67" t="s">
        <v>35</v>
      </c>
      <c r="K21" s="68" t="s">
        <v>136</v>
      </c>
      <c r="L21" s="77" t="s">
        <v>31</v>
      </c>
      <c r="M21" s="70" t="s">
        <v>134</v>
      </c>
      <c r="O21" s="51" t="s">
        <v>151</v>
      </c>
      <c r="P21" s="57">
        <f>SUM(P16:P20)</f>
        <v>1</v>
      </c>
      <c r="Q21" s="56">
        <f>E4</f>
        <v>200</v>
      </c>
      <c r="R21" s="56">
        <f>E5</f>
        <v>200</v>
      </c>
      <c r="T21" s="58" t="s">
        <v>152</v>
      </c>
      <c r="U21" s="13">
        <f>SUM(Q16:Q20)</f>
        <v>200</v>
      </c>
      <c r="V21" s="58" t="s">
        <v>153</v>
      </c>
      <c r="W21" s="13">
        <f>SUM(R16:R20)</f>
        <v>200</v>
      </c>
    </row>
    <row r="22" spans="1:23">
      <c r="A22" t="s">
        <v>115</v>
      </c>
      <c r="B22">
        <v>21886</v>
      </c>
      <c r="C22" s="49">
        <f xml:space="preserve"> AVERAGE(C12:C17)/5</f>
        <v>8.9999999999999998E-4</v>
      </c>
      <c r="D22">
        <f>ROUND(PRODUCT(B22:C22),0)</f>
        <v>20</v>
      </c>
      <c r="E22" s="50">
        <f>C4</f>
        <v>24.99</v>
      </c>
      <c r="F22" s="50">
        <f t="shared" ref="F22:F27" si="5">PRODUCT(D22:E22)</f>
        <v>499.79999999999995</v>
      </c>
      <c r="G22" s="50">
        <f t="shared" ref="G22:G27" si="6">SUM(G21,F22)</f>
        <v>499.79999999999995</v>
      </c>
      <c r="H22">
        <f>E4-D22</f>
        <v>180</v>
      </c>
      <c r="J22" s="66">
        <f>F4</f>
        <v>2272</v>
      </c>
      <c r="K22" s="66">
        <f xml:space="preserve"> G27</f>
        <v>3098.7599999999993</v>
      </c>
      <c r="L22" s="71">
        <f xml:space="preserve"> G27 -F4</f>
        <v>826.75999999999931</v>
      </c>
      <c r="M22" s="3" t="str" cm="1">
        <f t="array" ref="M22">INDEX(A22:A27, MATCH(TRUE, G22:G27&gt;=F4, 0))</f>
        <v>Month 5</v>
      </c>
    </row>
    <row r="23" spans="1:23">
      <c r="A23" t="s">
        <v>117</v>
      </c>
      <c r="B23">
        <v>21546</v>
      </c>
      <c r="C23" s="49">
        <f xml:space="preserve"> AVERAGE(C12:C17)/5</f>
        <v>8.9999999999999998E-4</v>
      </c>
      <c r="D23">
        <f t="shared" ref="D23:D27" si="7">ROUND(PRODUCT(B23:C23),0)</f>
        <v>19</v>
      </c>
      <c r="E23" s="50">
        <f>C4</f>
        <v>24.99</v>
      </c>
      <c r="F23" s="50">
        <f t="shared" si="5"/>
        <v>474.80999999999995</v>
      </c>
      <c r="G23" s="50">
        <f t="shared" si="6"/>
        <v>974.6099999999999</v>
      </c>
      <c r="H23">
        <f>H22-D23</f>
        <v>161</v>
      </c>
      <c r="J23" s="3"/>
      <c r="K23" s="3"/>
      <c r="L23" s="3"/>
      <c r="M23" s="3"/>
      <c r="O23" t="s">
        <v>140</v>
      </c>
      <c r="P23" t="s">
        <v>154</v>
      </c>
      <c r="Q23" t="s">
        <v>155</v>
      </c>
      <c r="R23" t="s">
        <v>156</v>
      </c>
      <c r="S23" t="s">
        <v>157</v>
      </c>
      <c r="T23" t="s">
        <v>158</v>
      </c>
      <c r="U23" t="s">
        <v>159</v>
      </c>
      <c r="V23" t="s">
        <v>160</v>
      </c>
      <c r="W23" t="s">
        <v>161</v>
      </c>
    </row>
    <row r="24" spans="1:23">
      <c r="A24" t="s">
        <v>118</v>
      </c>
      <c r="B24">
        <v>22327</v>
      </c>
      <c r="C24" s="49">
        <f xml:space="preserve"> AVERAGE(C12:C17)/5</f>
        <v>8.9999999999999998E-4</v>
      </c>
      <c r="D24">
        <f t="shared" si="7"/>
        <v>20</v>
      </c>
      <c r="E24" s="50">
        <f>C4</f>
        <v>24.99</v>
      </c>
      <c r="F24" s="50">
        <f t="shared" si="5"/>
        <v>499.79999999999995</v>
      </c>
      <c r="G24" s="50">
        <f t="shared" si="6"/>
        <v>1474.4099999999999</v>
      </c>
      <c r="H24">
        <f>H23-D24</f>
        <v>141</v>
      </c>
      <c r="J24" s="72" t="s">
        <v>162</v>
      </c>
      <c r="K24" s="73" t="s">
        <v>163</v>
      </c>
      <c r="L24" s="87" t="s">
        <v>164</v>
      </c>
      <c r="M24" s="67" t="s">
        <v>3</v>
      </c>
      <c r="O24" t="s">
        <v>165</v>
      </c>
      <c r="P24">
        <f>ROUND(D22 * P16, 0)</f>
        <v>2</v>
      </c>
      <c r="Q24">
        <f>ROUND(D23 * P16, 0)</f>
        <v>2</v>
      </c>
      <c r="R24">
        <f>ROUND(D24 * P16, 0)</f>
        <v>2</v>
      </c>
      <c r="S24">
        <f>ROUND(D25 * P16, 0)</f>
        <v>2</v>
      </c>
      <c r="T24">
        <f>ROUND(D26 * P16, 0)</f>
        <v>2</v>
      </c>
      <c r="U24">
        <f>ROUND(D27 * P16, 0)</f>
        <v>2</v>
      </c>
      <c r="V24" s="54">
        <f>SUM(P24:U24)</f>
        <v>12</v>
      </c>
      <c r="W24" s="3">
        <f>Q16 -V24</f>
        <v>8</v>
      </c>
    </row>
    <row r="25" spans="1:23">
      <c r="A25" t="s">
        <v>121</v>
      </c>
      <c r="B25">
        <v>23134</v>
      </c>
      <c r="C25" s="49">
        <f t="shared" ref="C25" si="8" xml:space="preserve"> AVERAGE(C12:C17)/5</f>
        <v>8.9999999999999998E-4</v>
      </c>
      <c r="D25">
        <f t="shared" si="7"/>
        <v>21</v>
      </c>
      <c r="E25" s="50">
        <f>C4</f>
        <v>24.99</v>
      </c>
      <c r="F25" s="50">
        <f t="shared" si="5"/>
        <v>524.79</v>
      </c>
      <c r="G25" s="50">
        <f t="shared" si="6"/>
        <v>1999.1999999999998</v>
      </c>
      <c r="H25">
        <f t="shared" ref="H25:H27" si="9">H24-D25</f>
        <v>120</v>
      </c>
      <c r="J25" s="13" t="str" cm="1">
        <f t="array" ref="J25">IFERROR(INDEX(A22:A27, MATCH(TRUE, H22:H27 &lt; J28, 0)), "No Restock Needed")</f>
        <v>No Restock Needed</v>
      </c>
      <c r="K25" s="3">
        <f>SUM(D22:D27)</f>
        <v>124</v>
      </c>
      <c r="L25" s="66">
        <f>AVERAGE(F22:F27)</f>
        <v>516.45999999999992</v>
      </c>
      <c r="M25" s="65">
        <f xml:space="preserve"> ROUND(L22/K22,3)</f>
        <v>0.26700000000000002</v>
      </c>
      <c r="O25" t="s">
        <v>166</v>
      </c>
      <c r="P25">
        <f>ROUND(D22 * P17, 0)</f>
        <v>5</v>
      </c>
      <c r="Q25">
        <f>ROUND(D23 * P17, 0)</f>
        <v>5</v>
      </c>
      <c r="R25">
        <f>ROUND(D24 * P17, 0)</f>
        <v>5</v>
      </c>
      <c r="S25">
        <f>ROUND(D25 * P17, 0)</f>
        <v>5</v>
      </c>
      <c r="T25">
        <f>ROUND(D26 * P17, 0)</f>
        <v>6</v>
      </c>
      <c r="U25">
        <f>ROUND(D27 * P17, 0)</f>
        <v>6</v>
      </c>
      <c r="V25" s="54">
        <f>SUM(P25:U25)</f>
        <v>32</v>
      </c>
      <c r="W25" s="3">
        <f>Q17 -V25</f>
        <v>18</v>
      </c>
    </row>
    <row r="26" spans="1:23">
      <c r="A26" t="s">
        <v>122</v>
      </c>
      <c r="B26">
        <v>23969</v>
      </c>
      <c r="C26" s="49">
        <f xml:space="preserve"> AVERAGE(C12:C17)/5</f>
        <v>8.9999999999999998E-4</v>
      </c>
      <c r="D26">
        <f t="shared" si="7"/>
        <v>22</v>
      </c>
      <c r="E26" s="50">
        <f>C4</f>
        <v>24.99</v>
      </c>
      <c r="F26" s="50">
        <f t="shared" si="5"/>
        <v>549.78</v>
      </c>
      <c r="G26" s="50">
        <f t="shared" si="6"/>
        <v>2548.9799999999996</v>
      </c>
      <c r="H26">
        <f t="shared" si="9"/>
        <v>98</v>
      </c>
      <c r="J26" s="3"/>
      <c r="K26" s="3"/>
      <c r="L26" s="3"/>
      <c r="M26" s="3"/>
      <c r="O26" t="s">
        <v>167</v>
      </c>
      <c r="P26">
        <f>ROUND(D22 * P18, 0)</f>
        <v>5</v>
      </c>
      <c r="Q26">
        <f>ROUND(D23 * P18, 0)</f>
        <v>5</v>
      </c>
      <c r="R26">
        <f>ROUND(D24 * P18, 0)</f>
        <v>5</v>
      </c>
      <c r="S26">
        <f>ROUND(D25 * P18, 0)</f>
        <v>5</v>
      </c>
      <c r="T26">
        <f>ROUND(D26 * P18, 0)</f>
        <v>6</v>
      </c>
      <c r="U26">
        <f>ROUND(D27 * P18, 0)</f>
        <v>6</v>
      </c>
      <c r="V26" s="54">
        <f t="shared" ref="V26:V28" si="10">SUM(P26:U26)</f>
        <v>32</v>
      </c>
      <c r="W26" s="3">
        <f>Q18 -V26</f>
        <v>18</v>
      </c>
    </row>
    <row r="27" spans="1:23">
      <c r="A27" t="s">
        <v>123</v>
      </c>
      <c r="B27">
        <v>24833</v>
      </c>
      <c r="C27" s="49">
        <f xml:space="preserve"> AVERAGE(C12:C17)/5</f>
        <v>8.9999999999999998E-4</v>
      </c>
      <c r="D27">
        <f t="shared" si="7"/>
        <v>22</v>
      </c>
      <c r="E27" s="50">
        <f>C4</f>
        <v>24.99</v>
      </c>
      <c r="F27" s="50">
        <f t="shared" si="5"/>
        <v>549.78</v>
      </c>
      <c r="G27" s="50">
        <f t="shared" si="6"/>
        <v>3098.7599999999993</v>
      </c>
      <c r="H27">
        <f t="shared" si="9"/>
        <v>76</v>
      </c>
      <c r="J27" s="74" t="s">
        <v>168</v>
      </c>
      <c r="K27" s="75" t="s">
        <v>169</v>
      </c>
      <c r="L27" s="76" t="s">
        <v>132</v>
      </c>
      <c r="M27" s="64" t="s">
        <v>170</v>
      </c>
      <c r="O27" t="s">
        <v>147</v>
      </c>
      <c r="P27">
        <f>ROUND(D22 * P19, 0)</f>
        <v>5</v>
      </c>
      <c r="Q27">
        <f>ROUND(D23 * P19, 0)</f>
        <v>5</v>
      </c>
      <c r="R27">
        <f>ROUND(D24 * P19, 0)</f>
        <v>5</v>
      </c>
      <c r="S27">
        <f>ROUND(D25 * P19, 0)</f>
        <v>5</v>
      </c>
      <c r="T27">
        <f>ROUND(D26 * P19, 0)</f>
        <v>6</v>
      </c>
      <c r="U27">
        <f>ROUND(D27 * P19, 0)</f>
        <v>6</v>
      </c>
      <c r="V27" s="54">
        <f t="shared" si="10"/>
        <v>32</v>
      </c>
      <c r="W27" s="3">
        <f>Q19 -V27</f>
        <v>18</v>
      </c>
    </row>
    <row r="28" spans="1:23">
      <c r="J28" s="3">
        <f>ROUND(AVERAGE(D22:D27) * VALUE(LEFT(M28, FIND(" ", M28)-1)) +L28, 0)</f>
        <v>46</v>
      </c>
      <c r="K28" s="3">
        <f>E4 - SUM(D22:D27)</f>
        <v>76</v>
      </c>
      <c r="L28" s="3">
        <f>ROUND(AVERAGE(D22:D27) * O12, 0)</f>
        <v>25</v>
      </c>
      <c r="M28" s="3" t="s">
        <v>171</v>
      </c>
      <c r="O28" t="s">
        <v>148</v>
      </c>
      <c r="P28">
        <f>ROUND(D22 * P20, 0)</f>
        <v>3</v>
      </c>
      <c r="Q28">
        <f>ROUND(D23 * P20, 0)</f>
        <v>3</v>
      </c>
      <c r="R28">
        <f>ROUND(D24 * P20, 0)</f>
        <v>3</v>
      </c>
      <c r="S28">
        <f>ROUND(D25 * P20, 0)</f>
        <v>3</v>
      </c>
      <c r="T28">
        <f>ROUND(D26 *P20, 0)</f>
        <v>3</v>
      </c>
      <c r="U28">
        <f>ROUND(D27 * P20, 0)</f>
        <v>3</v>
      </c>
      <c r="V28" s="54">
        <f t="shared" si="10"/>
        <v>18</v>
      </c>
      <c r="W28" s="3">
        <f>Q20 -V28</f>
        <v>12</v>
      </c>
    </row>
    <row r="31" spans="1:23" ht="15.75">
      <c r="J31" s="78" t="s">
        <v>116</v>
      </c>
      <c r="O31" s="52"/>
    </row>
    <row r="32" spans="1:23" ht="15.75">
      <c r="A32" s="61" t="s">
        <v>116</v>
      </c>
      <c r="B32" t="s">
        <v>125</v>
      </c>
      <c r="C32" t="s">
        <v>126</v>
      </c>
      <c r="D32" t="s">
        <v>127</v>
      </c>
      <c r="E32" t="s">
        <v>128</v>
      </c>
      <c r="F32" t="s">
        <v>129</v>
      </c>
      <c r="G32" t="s">
        <v>130</v>
      </c>
      <c r="H32" t="s">
        <v>150</v>
      </c>
      <c r="J32" s="67" t="s">
        <v>35</v>
      </c>
      <c r="K32" s="68" t="s">
        <v>136</v>
      </c>
      <c r="L32" s="69" t="s">
        <v>31</v>
      </c>
      <c r="M32" s="70" t="s">
        <v>134</v>
      </c>
    </row>
    <row r="33" spans="1:23">
      <c r="A33" s="88" t="s">
        <v>115</v>
      </c>
      <c r="B33" s="88">
        <v>21886</v>
      </c>
      <c r="C33" s="89">
        <f xml:space="preserve"> AVERAGE(C12:C17)/5</f>
        <v>8.9999999999999998E-4</v>
      </c>
      <c r="D33" s="88">
        <f t="shared" ref="D33:D38" si="11">ROUND(PRODUCT(B33:C33),0)</f>
        <v>20</v>
      </c>
      <c r="E33" s="90">
        <f>C5</f>
        <v>39.99</v>
      </c>
      <c r="F33" s="90">
        <f t="shared" ref="F33:F38" si="12">PRODUCT(D33:E33)</f>
        <v>799.80000000000007</v>
      </c>
      <c r="G33" s="90">
        <f t="shared" ref="G33:G38" si="13">SUM(G32,F33)</f>
        <v>799.80000000000007</v>
      </c>
      <c r="H33">
        <f>E5-D33</f>
        <v>180</v>
      </c>
      <c r="J33" s="66">
        <f>F5</f>
        <v>3096</v>
      </c>
      <c r="K33" s="66">
        <f>G38</f>
        <v>4958.76</v>
      </c>
      <c r="L33" s="71">
        <f>K33 - F5</f>
        <v>1862.7600000000002</v>
      </c>
      <c r="M33" s="3" t="str" cm="1">
        <f t="array" ref="M33">INDEX(A33:A38, MATCH(TRUE, G33:G38&gt;=F5, 0))</f>
        <v>Month 4</v>
      </c>
      <c r="O33" t="s">
        <v>140</v>
      </c>
      <c r="P33" t="s">
        <v>154</v>
      </c>
      <c r="Q33" t="s">
        <v>155</v>
      </c>
      <c r="R33" t="s">
        <v>156</v>
      </c>
      <c r="S33" t="s">
        <v>157</v>
      </c>
      <c r="T33" t="s">
        <v>158</v>
      </c>
      <c r="U33" t="s">
        <v>159</v>
      </c>
      <c r="V33" t="s">
        <v>160</v>
      </c>
      <c r="W33" t="s">
        <v>161</v>
      </c>
    </row>
    <row r="34" spans="1:23">
      <c r="A34" s="88" t="s">
        <v>117</v>
      </c>
      <c r="B34" s="88">
        <v>21546</v>
      </c>
      <c r="C34" s="89">
        <f xml:space="preserve"> AVERAGE(C12:C17)/5</f>
        <v>8.9999999999999998E-4</v>
      </c>
      <c r="D34" s="88">
        <f t="shared" si="11"/>
        <v>19</v>
      </c>
      <c r="E34" s="90">
        <f>C5</f>
        <v>39.99</v>
      </c>
      <c r="F34" s="90">
        <f t="shared" si="12"/>
        <v>759.81000000000006</v>
      </c>
      <c r="G34" s="90">
        <f t="shared" si="13"/>
        <v>1559.6100000000001</v>
      </c>
      <c r="H34">
        <f>H33-D34</f>
        <v>161</v>
      </c>
      <c r="J34" s="3"/>
      <c r="K34" s="3"/>
      <c r="L34" s="3"/>
      <c r="M34" s="3"/>
      <c r="O34" t="s">
        <v>165</v>
      </c>
      <c r="P34">
        <f>ROUND(D33 * P16, 0)</f>
        <v>2</v>
      </c>
      <c r="Q34">
        <f>ROUND(D34 * P16, 0)</f>
        <v>2</v>
      </c>
      <c r="R34">
        <f>ROUND(D35 * P16, 0)</f>
        <v>2</v>
      </c>
      <c r="S34">
        <f>ROUND(D36 * P16, 0)</f>
        <v>2</v>
      </c>
      <c r="T34">
        <f>ROUND(D37 * P16, 0)</f>
        <v>2</v>
      </c>
      <c r="U34">
        <f>ROUND(D38 * P16, 0)</f>
        <v>2</v>
      </c>
      <c r="V34" s="54">
        <f xml:space="preserve"> SUM(P34:U34)</f>
        <v>12</v>
      </c>
      <c r="W34" s="3">
        <f>R16 -V34</f>
        <v>8</v>
      </c>
    </row>
    <row r="35" spans="1:23">
      <c r="A35" s="88" t="s">
        <v>118</v>
      </c>
      <c r="B35" s="88">
        <v>22327</v>
      </c>
      <c r="C35" s="89">
        <f xml:space="preserve"> AVERAGE(C12:C17)/5</f>
        <v>8.9999999999999998E-4</v>
      </c>
      <c r="D35" s="88">
        <f t="shared" si="11"/>
        <v>20</v>
      </c>
      <c r="E35" s="90">
        <f>C5</f>
        <v>39.99</v>
      </c>
      <c r="F35" s="90">
        <f t="shared" si="12"/>
        <v>799.80000000000007</v>
      </c>
      <c r="G35" s="90">
        <f t="shared" si="13"/>
        <v>2359.4100000000003</v>
      </c>
      <c r="H35">
        <f>H34-D35</f>
        <v>141</v>
      </c>
      <c r="J35" s="72" t="s">
        <v>162</v>
      </c>
      <c r="K35" s="73" t="s">
        <v>163</v>
      </c>
      <c r="L35" s="87" t="s">
        <v>164</v>
      </c>
      <c r="M35" s="67" t="s">
        <v>3</v>
      </c>
      <c r="O35" t="s">
        <v>166</v>
      </c>
      <c r="P35">
        <f>ROUND(D33 * P17, 0)</f>
        <v>5</v>
      </c>
      <c r="Q35">
        <f>ROUND(D34 * P17, 0)</f>
        <v>5</v>
      </c>
      <c r="R35">
        <f>ROUND(D35 * P17, 0)</f>
        <v>5</v>
      </c>
      <c r="S35">
        <f>ROUND(D36 * P17, 0)</f>
        <v>5</v>
      </c>
      <c r="T35">
        <f>ROUND(D37 * P17, 0)</f>
        <v>6</v>
      </c>
      <c r="U35">
        <f>ROUND(D38 *P17, 0)</f>
        <v>6</v>
      </c>
      <c r="V35" s="54">
        <f t="shared" ref="V35:V38" si="14" xml:space="preserve"> SUM(P35:U35)</f>
        <v>32</v>
      </c>
      <c r="W35" s="3">
        <f>R17 -V35</f>
        <v>18</v>
      </c>
    </row>
    <row r="36" spans="1:23">
      <c r="A36" s="88" t="s">
        <v>121</v>
      </c>
      <c r="B36" s="88">
        <v>23134</v>
      </c>
      <c r="C36" s="89">
        <f xml:space="preserve"> AVERAGE(C12:C17)/5</f>
        <v>8.9999999999999998E-4</v>
      </c>
      <c r="D36" s="88">
        <f t="shared" si="11"/>
        <v>21</v>
      </c>
      <c r="E36" s="90">
        <f>C5</f>
        <v>39.99</v>
      </c>
      <c r="F36" s="90">
        <f t="shared" si="12"/>
        <v>839.79000000000008</v>
      </c>
      <c r="G36" s="90">
        <f t="shared" si="13"/>
        <v>3199.2000000000003</v>
      </c>
      <c r="H36">
        <f>H35-D36</f>
        <v>120</v>
      </c>
      <c r="J36" s="13" t="str" cm="1">
        <f t="array" ref="J36">IFERROR(INDEX(A33:A38, MATCH(TRUE, H33:H38 &lt; J39, 0)), "No Restock Needed")</f>
        <v>No Restock Needed</v>
      </c>
      <c r="K36" s="3">
        <f>SUM(D33:D38)</f>
        <v>124</v>
      </c>
      <c r="L36" s="66">
        <f>AVERAGE(F33:F38)</f>
        <v>826.46</v>
      </c>
      <c r="M36" s="65">
        <f xml:space="preserve"> ROUND(L33/K33,3)</f>
        <v>0.376</v>
      </c>
      <c r="O36" t="s">
        <v>167</v>
      </c>
      <c r="P36">
        <f>ROUND(D33 * P18, 0)</f>
        <v>5</v>
      </c>
      <c r="Q36">
        <f>ROUND(D34 * P18, 0)</f>
        <v>5</v>
      </c>
      <c r="R36">
        <f>ROUND(D35 * P18, 0)</f>
        <v>5</v>
      </c>
      <c r="S36">
        <f>ROUND(D36 * P18, 0)</f>
        <v>5</v>
      </c>
      <c r="T36">
        <f>ROUND(D37 * P18, 0)</f>
        <v>6</v>
      </c>
      <c r="U36">
        <f>ROUND(D38 * P18, 0)</f>
        <v>6</v>
      </c>
      <c r="V36" s="54">
        <f t="shared" si="14"/>
        <v>32</v>
      </c>
      <c r="W36" s="3">
        <f>R18 -V36</f>
        <v>18</v>
      </c>
    </row>
    <row r="37" spans="1:23">
      <c r="A37" s="88" t="s">
        <v>122</v>
      </c>
      <c r="B37" s="88">
        <v>23969</v>
      </c>
      <c r="C37" s="89">
        <f xml:space="preserve"> AVERAGE(C12:C17)/5</f>
        <v>8.9999999999999998E-4</v>
      </c>
      <c r="D37" s="88">
        <f t="shared" si="11"/>
        <v>22</v>
      </c>
      <c r="E37" s="90">
        <f>C5</f>
        <v>39.99</v>
      </c>
      <c r="F37" s="90">
        <f t="shared" si="12"/>
        <v>879.78000000000009</v>
      </c>
      <c r="G37" s="90">
        <f t="shared" si="13"/>
        <v>4078.9800000000005</v>
      </c>
      <c r="H37">
        <f>H36-D37</f>
        <v>98</v>
      </c>
      <c r="J37" s="3"/>
      <c r="K37" s="3"/>
      <c r="L37" s="3"/>
      <c r="M37" s="3"/>
      <c r="O37" t="s">
        <v>147</v>
      </c>
      <c r="P37">
        <f>ROUND(D33 *P19, 0)</f>
        <v>5</v>
      </c>
      <c r="Q37">
        <f>ROUND(D34 *P19, 0)</f>
        <v>5</v>
      </c>
      <c r="R37">
        <f>ROUND(D35 * P19, 0)</f>
        <v>5</v>
      </c>
      <c r="S37">
        <f>ROUND(D36 * P19, 0)</f>
        <v>5</v>
      </c>
      <c r="T37">
        <f>ROUND(D37 * P19, 0)</f>
        <v>6</v>
      </c>
      <c r="U37">
        <f>ROUND(D38 * P19, 0)</f>
        <v>6</v>
      </c>
      <c r="V37" s="54">
        <f t="shared" si="14"/>
        <v>32</v>
      </c>
      <c r="W37" s="3">
        <f>R19 -V37</f>
        <v>18</v>
      </c>
    </row>
    <row r="38" spans="1:23">
      <c r="A38" s="88" t="s">
        <v>123</v>
      </c>
      <c r="B38" s="88">
        <v>24833</v>
      </c>
      <c r="C38" s="89">
        <f xml:space="preserve"> AVERAGE(C12:C17)/5</f>
        <v>8.9999999999999998E-4</v>
      </c>
      <c r="D38" s="88">
        <f t="shared" si="11"/>
        <v>22</v>
      </c>
      <c r="E38" s="90">
        <f>C5</f>
        <v>39.99</v>
      </c>
      <c r="F38" s="90">
        <f t="shared" si="12"/>
        <v>879.78000000000009</v>
      </c>
      <c r="G38" s="90">
        <f t="shared" si="13"/>
        <v>4958.76</v>
      </c>
      <c r="H38">
        <f>H37-D38</f>
        <v>76</v>
      </c>
      <c r="J38" s="74" t="s">
        <v>168</v>
      </c>
      <c r="K38" s="75" t="s">
        <v>169</v>
      </c>
      <c r="L38" s="76" t="s">
        <v>132</v>
      </c>
      <c r="M38" s="63" t="s">
        <v>170</v>
      </c>
      <c r="O38" t="s">
        <v>148</v>
      </c>
      <c r="P38">
        <f>ROUND(D33 * P20, 0)</f>
        <v>3</v>
      </c>
      <c r="Q38">
        <f>ROUND(D34 *P20, 0)</f>
        <v>3</v>
      </c>
      <c r="R38">
        <f>ROUND(D35 * P20, 0)</f>
        <v>3</v>
      </c>
      <c r="S38">
        <f>ROUND(D36 * P20, 0)</f>
        <v>3</v>
      </c>
      <c r="T38">
        <f>ROUND(D37 *P20, 0)</f>
        <v>3</v>
      </c>
      <c r="U38">
        <f>ROUND(D38 * P20, 0)</f>
        <v>3</v>
      </c>
      <c r="V38" s="54">
        <f t="shared" si="14"/>
        <v>18</v>
      </c>
      <c r="W38" s="3">
        <f>R20 -V38</f>
        <v>12</v>
      </c>
    </row>
    <row r="39" spans="1:23">
      <c r="J39" s="3">
        <f>ROUND(AVERAGE(D33:D38) * VALUE(LEFT(M39, FIND(" ", M39)-1)) +L39, 0)</f>
        <v>46</v>
      </c>
      <c r="K39" s="3">
        <f>E5 - SUM(D33:D38)</f>
        <v>76</v>
      </c>
      <c r="L39" s="3">
        <f>ROUND(AVERAGE(D33:D38) * O12, 0)</f>
        <v>25</v>
      </c>
      <c r="M39" s="3" t="s">
        <v>172</v>
      </c>
    </row>
    <row r="42" spans="1:23" ht="15.75">
      <c r="J42" s="60" t="s">
        <v>173</v>
      </c>
    </row>
    <row r="43" spans="1:23" ht="15.75">
      <c r="A43" s="61" t="s">
        <v>173</v>
      </c>
      <c r="B43" t="s">
        <v>125</v>
      </c>
      <c r="C43" t="s">
        <v>126</v>
      </c>
      <c r="D43" t="s">
        <v>127</v>
      </c>
      <c r="E43" t="s">
        <v>128</v>
      </c>
      <c r="F43" t="s">
        <v>129</v>
      </c>
      <c r="G43" t="s">
        <v>130</v>
      </c>
      <c r="H43" t="s">
        <v>150</v>
      </c>
      <c r="J43" s="67" t="s">
        <v>35</v>
      </c>
      <c r="K43" s="68" t="s">
        <v>136</v>
      </c>
      <c r="L43" s="69" t="s">
        <v>31</v>
      </c>
      <c r="M43" s="70" t="s">
        <v>134</v>
      </c>
    </row>
    <row r="44" spans="1:23">
      <c r="A44" t="s">
        <v>115</v>
      </c>
      <c r="B44">
        <v>21886</v>
      </c>
      <c r="C44" s="49">
        <f xml:space="preserve"> AVERAGE(C12:C17)/5</f>
        <v>8.9999999999999998E-4</v>
      </c>
      <c r="D44">
        <f t="shared" ref="D44:D49" si="15">ROUND(PRODUCT(B44:C44),0)</f>
        <v>20</v>
      </c>
      <c r="E44" s="50">
        <f>C6</f>
        <v>29.99</v>
      </c>
      <c r="F44" s="50">
        <f t="shared" ref="F44:F49" si="16">PRODUCT(D44:E44)</f>
        <v>599.79999999999995</v>
      </c>
      <c r="G44" s="50">
        <f t="shared" ref="G44:G49" si="17">SUM(G43,F44)</f>
        <v>599.79999999999995</v>
      </c>
      <c r="H44">
        <f>E6-D44</f>
        <v>80</v>
      </c>
      <c r="J44" s="66">
        <f>F6</f>
        <v>1226</v>
      </c>
      <c r="K44" s="66">
        <f>G49</f>
        <v>3718.7599999999993</v>
      </c>
      <c r="L44" s="71">
        <f>G49 - F6</f>
        <v>2492.7599999999993</v>
      </c>
      <c r="M44" s="3" t="str" cm="1">
        <f t="array" ref="M44">INDEX(A44:A49, MATCH(TRUE, G44:G49&gt;=F6, 0))</f>
        <v>Month 3</v>
      </c>
    </row>
    <row r="45" spans="1:23">
      <c r="A45" t="s">
        <v>117</v>
      </c>
      <c r="B45">
        <v>21546</v>
      </c>
      <c r="C45" s="49">
        <f xml:space="preserve"> AVERAGE(C12:C17)/5</f>
        <v>8.9999999999999998E-4</v>
      </c>
      <c r="D45">
        <f t="shared" si="15"/>
        <v>19</v>
      </c>
      <c r="E45" s="50">
        <f>C6</f>
        <v>29.99</v>
      </c>
      <c r="F45" s="50">
        <f t="shared" si="16"/>
        <v>569.80999999999995</v>
      </c>
      <c r="G45" s="50">
        <f t="shared" si="17"/>
        <v>1169.6099999999999</v>
      </c>
      <c r="H45">
        <f t="shared" ref="H45:H49" si="18">H44-D45</f>
        <v>61</v>
      </c>
      <c r="J45" s="3"/>
      <c r="K45" s="3"/>
      <c r="L45" s="3"/>
      <c r="M45" s="3"/>
    </row>
    <row r="46" spans="1:23">
      <c r="A46" t="s">
        <v>118</v>
      </c>
      <c r="B46">
        <v>22327</v>
      </c>
      <c r="C46" s="49">
        <f xml:space="preserve"> AVERAGE(C12:C17)/5</f>
        <v>8.9999999999999998E-4</v>
      </c>
      <c r="D46">
        <f t="shared" si="15"/>
        <v>20</v>
      </c>
      <c r="E46" s="50">
        <f>C6</f>
        <v>29.99</v>
      </c>
      <c r="F46" s="50">
        <f t="shared" si="16"/>
        <v>599.79999999999995</v>
      </c>
      <c r="G46" s="50">
        <f t="shared" si="17"/>
        <v>1769.4099999999999</v>
      </c>
      <c r="H46">
        <f t="shared" si="18"/>
        <v>41</v>
      </c>
      <c r="J46" s="72" t="s">
        <v>162</v>
      </c>
      <c r="K46" s="73" t="s">
        <v>163</v>
      </c>
      <c r="L46" s="87" t="s">
        <v>164</v>
      </c>
      <c r="M46" s="67" t="s">
        <v>3</v>
      </c>
    </row>
    <row r="47" spans="1:23">
      <c r="A47" t="s">
        <v>121</v>
      </c>
      <c r="B47">
        <v>23134</v>
      </c>
      <c r="C47" s="49">
        <f xml:space="preserve"> AVERAGE(C12:C17)/5</f>
        <v>8.9999999999999998E-4</v>
      </c>
      <c r="D47">
        <f t="shared" si="15"/>
        <v>21</v>
      </c>
      <c r="E47" s="50">
        <f>C6</f>
        <v>29.99</v>
      </c>
      <c r="F47" s="50">
        <f t="shared" si="16"/>
        <v>629.79</v>
      </c>
      <c r="G47" s="50">
        <f t="shared" si="17"/>
        <v>2399.1999999999998</v>
      </c>
      <c r="H47">
        <f t="shared" si="18"/>
        <v>20</v>
      </c>
      <c r="J47" s="3" t="str" cm="1">
        <f t="array" ref="J47">IFERROR(INDEX(A44:A49, MATCH(TRUE, H44:H49 &lt; J50, 0)), "No Restock Needed")</f>
        <v>Month 3</v>
      </c>
      <c r="K47" s="3">
        <f>SUM(D44:D49)</f>
        <v>124</v>
      </c>
      <c r="L47" s="66">
        <f>AVERAGE(F44:F49)</f>
        <v>619.79333333333318</v>
      </c>
      <c r="M47" s="65">
        <f xml:space="preserve"> ROUND(L44/K44,3)</f>
        <v>0.67</v>
      </c>
    </row>
    <row r="48" spans="1:23">
      <c r="A48" t="s">
        <v>122</v>
      </c>
      <c r="B48">
        <v>23969</v>
      </c>
      <c r="C48" s="49">
        <f xml:space="preserve"> AVERAGE(C12:C17)/5</f>
        <v>8.9999999999999998E-4</v>
      </c>
      <c r="D48">
        <f t="shared" si="15"/>
        <v>22</v>
      </c>
      <c r="E48" s="50">
        <f>C6</f>
        <v>29.99</v>
      </c>
      <c r="F48" s="50">
        <f t="shared" si="16"/>
        <v>659.78</v>
      </c>
      <c r="G48" s="50">
        <f t="shared" si="17"/>
        <v>3058.9799999999996</v>
      </c>
      <c r="H48">
        <f t="shared" si="18"/>
        <v>-2</v>
      </c>
      <c r="J48" s="3"/>
      <c r="K48" s="3"/>
      <c r="L48" s="3"/>
      <c r="M48" s="3"/>
    </row>
    <row r="49" spans="1:20">
      <c r="A49" t="s">
        <v>123</v>
      </c>
      <c r="B49">
        <v>24833</v>
      </c>
      <c r="C49" s="49">
        <f xml:space="preserve"> AVERAGE(C12:C17)/5</f>
        <v>8.9999999999999998E-4</v>
      </c>
      <c r="D49">
        <f t="shared" si="15"/>
        <v>22</v>
      </c>
      <c r="E49" s="50">
        <f>C6</f>
        <v>29.99</v>
      </c>
      <c r="F49" s="50">
        <f t="shared" si="16"/>
        <v>659.78</v>
      </c>
      <c r="G49" s="50">
        <f t="shared" si="17"/>
        <v>3718.7599999999993</v>
      </c>
      <c r="H49">
        <f t="shared" si="18"/>
        <v>-24</v>
      </c>
      <c r="J49" s="74" t="s">
        <v>168</v>
      </c>
      <c r="K49" s="75" t="s">
        <v>169</v>
      </c>
      <c r="L49" s="76" t="s">
        <v>132</v>
      </c>
      <c r="M49" s="63" t="s">
        <v>170</v>
      </c>
    </row>
    <row r="50" spans="1:20">
      <c r="J50" s="3">
        <f>ROUND(AVERAGE(D44:D49) * VALUE(LEFT(M50, FIND(" ", M50)-1)) +L50, 0)</f>
        <v>46</v>
      </c>
      <c r="K50" s="3">
        <f>E6 - SUM(D44:D49)</f>
        <v>-24</v>
      </c>
      <c r="L50" s="3">
        <f>ROUND(AVERAGE(D44:D49) * O12, 0)</f>
        <v>25</v>
      </c>
      <c r="M50" s="3" t="s">
        <v>172</v>
      </c>
    </row>
    <row r="53" spans="1:20" ht="15.75">
      <c r="J53" s="60" t="s">
        <v>119</v>
      </c>
    </row>
    <row r="54" spans="1:20" ht="15.75">
      <c r="A54" s="61" t="s">
        <v>119</v>
      </c>
      <c r="B54" t="s">
        <v>125</v>
      </c>
      <c r="C54" t="s">
        <v>126</v>
      </c>
      <c r="D54" t="s">
        <v>127</v>
      </c>
      <c r="E54" t="s">
        <v>128</v>
      </c>
      <c r="F54" t="s">
        <v>129</v>
      </c>
      <c r="G54" t="s">
        <v>130</v>
      </c>
      <c r="H54" t="s">
        <v>150</v>
      </c>
      <c r="J54" s="67" t="s">
        <v>35</v>
      </c>
      <c r="K54" s="68" t="s">
        <v>136</v>
      </c>
      <c r="L54" s="69" t="s">
        <v>31</v>
      </c>
      <c r="M54" s="70" t="s">
        <v>134</v>
      </c>
    </row>
    <row r="55" spans="1:20">
      <c r="A55" t="s">
        <v>115</v>
      </c>
      <c r="B55">
        <v>21886</v>
      </c>
      <c r="C55" s="49">
        <f xml:space="preserve"> AVERAGE(C12:C17)/5</f>
        <v>8.9999999999999998E-4</v>
      </c>
      <c r="D55">
        <f t="shared" ref="D55:D60" si="19">ROUND(PRODUCT(B55:C55),0)</f>
        <v>20</v>
      </c>
      <c r="E55" s="50">
        <f>C7</f>
        <v>13.99</v>
      </c>
      <c r="F55" s="50">
        <f t="shared" ref="F55:F60" si="20">PRODUCT(D55:E55)</f>
        <v>279.8</v>
      </c>
      <c r="G55" s="50">
        <f t="shared" ref="G55:G60" si="21">SUM(G54,F55)</f>
        <v>279.8</v>
      </c>
      <c r="H55">
        <f>E7-D55</f>
        <v>220</v>
      </c>
      <c r="J55" s="66">
        <f>F7</f>
        <v>1545.6000000000001</v>
      </c>
      <c r="K55" s="66">
        <f>G60</f>
        <v>1734.76</v>
      </c>
      <c r="L55" s="71">
        <f>G60 - F7</f>
        <v>189.15999999999985</v>
      </c>
      <c r="M55" s="3" t="str" cm="1">
        <f t="array" ref="M55">INDEX(A55:A60, MATCH(TRUE, G55:G60&gt;=F7, 0))</f>
        <v>Month 6</v>
      </c>
    </row>
    <row r="56" spans="1:20">
      <c r="A56" t="s">
        <v>117</v>
      </c>
      <c r="B56">
        <v>21546</v>
      </c>
      <c r="C56" s="49">
        <f xml:space="preserve"> AVERAGE(C12:C17)/5</f>
        <v>8.9999999999999998E-4</v>
      </c>
      <c r="D56">
        <f t="shared" si="19"/>
        <v>19</v>
      </c>
      <c r="E56" s="50">
        <f>C7</f>
        <v>13.99</v>
      </c>
      <c r="F56" s="50">
        <f t="shared" si="20"/>
        <v>265.81</v>
      </c>
      <c r="G56" s="50">
        <f t="shared" si="21"/>
        <v>545.61</v>
      </c>
      <c r="H56">
        <f>H55-D56</f>
        <v>201</v>
      </c>
      <c r="J56" s="3"/>
      <c r="K56" s="3"/>
      <c r="L56" s="3"/>
      <c r="M56" s="3"/>
    </row>
    <row r="57" spans="1:20">
      <c r="A57" t="s">
        <v>118</v>
      </c>
      <c r="B57">
        <v>22327</v>
      </c>
      <c r="C57" s="49">
        <f xml:space="preserve"> AVERAGE(C12:C17)/5</f>
        <v>8.9999999999999998E-4</v>
      </c>
      <c r="D57">
        <f t="shared" si="19"/>
        <v>20</v>
      </c>
      <c r="E57" s="50">
        <f>C7</f>
        <v>13.99</v>
      </c>
      <c r="F57" s="50">
        <f t="shared" si="20"/>
        <v>279.8</v>
      </c>
      <c r="G57" s="50">
        <f t="shared" si="21"/>
        <v>825.41000000000008</v>
      </c>
      <c r="H57">
        <f>H56-D57</f>
        <v>181</v>
      </c>
      <c r="J57" s="72" t="s">
        <v>162</v>
      </c>
      <c r="K57" s="73" t="s">
        <v>163</v>
      </c>
      <c r="L57" s="87" t="s">
        <v>164</v>
      </c>
      <c r="M57" s="67" t="s">
        <v>3</v>
      </c>
    </row>
    <row r="58" spans="1:20">
      <c r="A58" t="s">
        <v>121</v>
      </c>
      <c r="B58">
        <v>23134</v>
      </c>
      <c r="C58" s="49">
        <f xml:space="preserve"> AVERAGE(C12:C17)/5</f>
        <v>8.9999999999999998E-4</v>
      </c>
      <c r="D58">
        <f t="shared" si="19"/>
        <v>21</v>
      </c>
      <c r="E58" s="50">
        <f>C7</f>
        <v>13.99</v>
      </c>
      <c r="F58" s="50">
        <f t="shared" si="20"/>
        <v>293.79000000000002</v>
      </c>
      <c r="G58" s="50">
        <f t="shared" si="21"/>
        <v>1119.2</v>
      </c>
      <c r="H58">
        <f>H57-D58</f>
        <v>160</v>
      </c>
      <c r="J58" s="13" t="str" cm="1">
        <f t="array" ref="J58">IFERROR(INDEX(A55:A60, MATCH(TRUE, H55:H60 &lt; J61, 0)), "No Restock Needed")</f>
        <v>No Restock Needed</v>
      </c>
      <c r="K58" s="3">
        <f>SUM(D55:D60)</f>
        <v>124</v>
      </c>
      <c r="L58" s="66">
        <f>AVERAGE(F55:F60)</f>
        <v>289.12666666666667</v>
      </c>
      <c r="M58" s="65">
        <f xml:space="preserve"> ROUND(L55/K55,3)</f>
        <v>0.109</v>
      </c>
      <c r="O58" t="s">
        <v>174</v>
      </c>
      <c r="P58" t="s">
        <v>175</v>
      </c>
      <c r="Q58" t="s">
        <v>176</v>
      </c>
      <c r="S58" s="48" t="s">
        <v>34</v>
      </c>
    </row>
    <row r="59" spans="1:20">
      <c r="A59" t="s">
        <v>122</v>
      </c>
      <c r="B59">
        <v>23969</v>
      </c>
      <c r="C59" s="49">
        <f xml:space="preserve"> AVERAGE(C12:C17)/5</f>
        <v>8.9999999999999998E-4</v>
      </c>
      <c r="D59">
        <f t="shared" si="19"/>
        <v>22</v>
      </c>
      <c r="E59" s="50">
        <f>C7</f>
        <v>13.99</v>
      </c>
      <c r="F59" s="50">
        <f t="shared" si="20"/>
        <v>307.78000000000003</v>
      </c>
      <c r="G59" s="50">
        <f t="shared" si="21"/>
        <v>1426.98</v>
      </c>
      <c r="H59">
        <f>H58-D59</f>
        <v>138</v>
      </c>
      <c r="J59" s="3"/>
      <c r="K59" s="3"/>
      <c r="L59" s="3"/>
      <c r="M59" s="3"/>
      <c r="O59" t="s">
        <v>177</v>
      </c>
      <c r="P59">
        <f>ROUND(D12/31, 1)</f>
        <v>3.2</v>
      </c>
      <c r="Q59" s="50">
        <f t="shared" ref="Q59:Q64" si="22">P59*E22</f>
        <v>79.968000000000004</v>
      </c>
      <c r="S59" t="s">
        <v>178</v>
      </c>
      <c r="T59" t="s">
        <v>179</v>
      </c>
    </row>
    <row r="60" spans="1:20">
      <c r="A60" t="s">
        <v>123</v>
      </c>
      <c r="B60">
        <v>24833</v>
      </c>
      <c r="C60" s="49">
        <f xml:space="preserve"> AVERAGE(C12:C17)/5</f>
        <v>8.9999999999999998E-4</v>
      </c>
      <c r="D60">
        <f t="shared" si="19"/>
        <v>22</v>
      </c>
      <c r="E60" s="50">
        <f>C7</f>
        <v>13.99</v>
      </c>
      <c r="F60" s="50">
        <f t="shared" si="20"/>
        <v>307.78000000000003</v>
      </c>
      <c r="G60" s="50">
        <f t="shared" si="21"/>
        <v>1734.76</v>
      </c>
      <c r="H60">
        <f>H59-D60</f>
        <v>116</v>
      </c>
      <c r="J60" s="74" t="s">
        <v>168</v>
      </c>
      <c r="K60" s="75" t="s">
        <v>169</v>
      </c>
      <c r="L60" s="76" t="s">
        <v>132</v>
      </c>
      <c r="M60" s="63" t="s">
        <v>170</v>
      </c>
      <c r="O60" t="s">
        <v>180</v>
      </c>
      <c r="P60">
        <f>ROUND(D13/28, 1)</f>
        <v>3.5</v>
      </c>
      <c r="Q60" s="50">
        <f t="shared" si="22"/>
        <v>87.464999999999989</v>
      </c>
      <c r="S60" t="s">
        <v>114</v>
      </c>
      <c r="T60" s="50">
        <f>F4+U4</f>
        <v>2840</v>
      </c>
    </row>
    <row r="61" spans="1:20">
      <c r="J61" s="3">
        <f>ROUND(AVERAGE(D55:D60) * VALUE(LEFT(M61, FIND(" ", M61)-1)) +L61, 0)</f>
        <v>56</v>
      </c>
      <c r="K61" s="3">
        <f>E7 - SUM(D55:D60)</f>
        <v>116</v>
      </c>
      <c r="L61" s="3">
        <f>ROUND(AVERAGE(D55:D60) * O12, 0)</f>
        <v>25</v>
      </c>
      <c r="M61" s="3" t="s">
        <v>181</v>
      </c>
      <c r="O61" t="s">
        <v>182</v>
      </c>
      <c r="P61">
        <f>ROUND(D14/31, 1)</f>
        <v>3.2</v>
      </c>
      <c r="Q61" s="50">
        <f t="shared" si="22"/>
        <v>79.968000000000004</v>
      </c>
      <c r="S61" t="s">
        <v>116</v>
      </c>
      <c r="T61" s="50">
        <f>F5+U5</f>
        <v>3870</v>
      </c>
    </row>
    <row r="62" spans="1:20">
      <c r="O62" t="s">
        <v>183</v>
      </c>
      <c r="P62">
        <f>ROUND(D15/30, 1)</f>
        <v>3.5</v>
      </c>
      <c r="Q62" s="50">
        <f t="shared" si="22"/>
        <v>87.464999999999989</v>
      </c>
      <c r="S62" t="s">
        <v>102</v>
      </c>
      <c r="T62" s="50">
        <f>F6+U6</f>
        <v>1593.8</v>
      </c>
    </row>
    <row r="63" spans="1:20">
      <c r="O63" t="s">
        <v>184</v>
      </c>
      <c r="P63">
        <f>ROUND(D16/31, 1)</f>
        <v>3.5</v>
      </c>
      <c r="Q63" s="50">
        <f t="shared" si="22"/>
        <v>87.464999999999989</v>
      </c>
      <c r="S63" t="s">
        <v>119</v>
      </c>
      <c r="T63" s="50">
        <f>F7+U7</f>
        <v>1932.0000000000002</v>
      </c>
    </row>
    <row r="64" spans="1:20" ht="15.75">
      <c r="J64" s="60" t="s">
        <v>27</v>
      </c>
      <c r="O64" t="s">
        <v>185</v>
      </c>
      <c r="P64">
        <f>ROUND(D17/30, 1)</f>
        <v>3.7</v>
      </c>
      <c r="Q64" s="50">
        <f t="shared" si="22"/>
        <v>92.462999999999994</v>
      </c>
      <c r="S64" t="s">
        <v>27</v>
      </c>
      <c r="T64" s="50">
        <f>F8+U8</f>
        <v>532</v>
      </c>
    </row>
    <row r="65" spans="1:13" ht="15.75">
      <c r="A65" s="61" t="s">
        <v>27</v>
      </c>
      <c r="B65" t="s">
        <v>125</v>
      </c>
      <c r="C65" t="s">
        <v>126</v>
      </c>
      <c r="D65" t="s">
        <v>127</v>
      </c>
      <c r="E65" t="s">
        <v>128</v>
      </c>
      <c r="F65" t="s">
        <v>129</v>
      </c>
      <c r="G65" t="s">
        <v>130</v>
      </c>
      <c r="H65" s="52" t="s">
        <v>186</v>
      </c>
      <c r="J65" s="67" t="s">
        <v>35</v>
      </c>
      <c r="K65" s="68" t="s">
        <v>136</v>
      </c>
      <c r="L65" s="69" t="s">
        <v>31</v>
      </c>
      <c r="M65" s="70" t="s">
        <v>134</v>
      </c>
    </row>
    <row r="66" spans="1:13">
      <c r="A66" t="s">
        <v>115</v>
      </c>
      <c r="B66">
        <v>21886</v>
      </c>
      <c r="C66" s="49">
        <f xml:space="preserve"> AVERAGE(C12:C17)/5</f>
        <v>8.9999999999999998E-4</v>
      </c>
      <c r="D66">
        <f t="shared" ref="D66:D71" si="23">ROUND(PRODUCT(B66:C66),0)</f>
        <v>20</v>
      </c>
      <c r="E66" s="50">
        <f>C8</f>
        <v>5</v>
      </c>
      <c r="F66" s="50">
        <f t="shared" ref="F66:F71" si="24">PRODUCT(D66:E66)</f>
        <v>100</v>
      </c>
      <c r="G66" s="50">
        <f t="shared" ref="G66:G71" si="25">SUM(G65,F66)</f>
        <v>100</v>
      </c>
      <c r="H66">
        <f>E8-SUM(D66)</f>
        <v>280</v>
      </c>
      <c r="J66" s="66">
        <f>F8</f>
        <v>456</v>
      </c>
      <c r="K66" s="66">
        <f>G71</f>
        <v>620</v>
      </c>
      <c r="L66" s="71">
        <f>G71 - F8</f>
        <v>164</v>
      </c>
      <c r="M66" s="3" t="str" cm="1">
        <f t="array" ref="M66">INDEX(A66:A71, MATCH(TRUE, G66:G71&gt;=F8, 0))</f>
        <v>Month 5</v>
      </c>
    </row>
    <row r="67" spans="1:13">
      <c r="A67" t="s">
        <v>117</v>
      </c>
      <c r="B67">
        <v>21546</v>
      </c>
      <c r="C67" s="49">
        <f xml:space="preserve"> AVERAGE(C12:C17)/5</f>
        <v>8.9999999999999998E-4</v>
      </c>
      <c r="D67">
        <f t="shared" si="23"/>
        <v>19</v>
      </c>
      <c r="E67" s="50">
        <f>C8</f>
        <v>5</v>
      </c>
      <c r="F67" s="50">
        <f t="shared" si="24"/>
        <v>95</v>
      </c>
      <c r="G67" s="50">
        <f t="shared" si="25"/>
        <v>195</v>
      </c>
      <c r="H67">
        <f>H66-D67</f>
        <v>261</v>
      </c>
      <c r="J67" s="3"/>
      <c r="K67" s="3"/>
      <c r="L67" s="3"/>
      <c r="M67" s="3"/>
    </row>
    <row r="68" spans="1:13">
      <c r="A68" t="s">
        <v>118</v>
      </c>
      <c r="B68">
        <v>22327</v>
      </c>
      <c r="C68" s="49">
        <f xml:space="preserve"> AVERAGE(C12:C17)/5</f>
        <v>8.9999999999999998E-4</v>
      </c>
      <c r="D68">
        <f t="shared" si="23"/>
        <v>20</v>
      </c>
      <c r="E68" s="50">
        <f>C8</f>
        <v>5</v>
      </c>
      <c r="F68" s="50">
        <f t="shared" si="24"/>
        <v>100</v>
      </c>
      <c r="G68" s="50">
        <f t="shared" si="25"/>
        <v>295</v>
      </c>
      <c r="H68">
        <f>H67-D68</f>
        <v>241</v>
      </c>
      <c r="J68" s="72" t="s">
        <v>162</v>
      </c>
      <c r="K68" s="73" t="s">
        <v>163</v>
      </c>
      <c r="L68" s="87" t="s">
        <v>164</v>
      </c>
      <c r="M68" s="67" t="s">
        <v>3</v>
      </c>
    </row>
    <row r="69" spans="1:13">
      <c r="A69" t="s">
        <v>121</v>
      </c>
      <c r="B69">
        <v>23134</v>
      </c>
      <c r="C69" s="49">
        <f xml:space="preserve"> AVERAGE(C12:C17)/5</f>
        <v>8.9999999999999998E-4</v>
      </c>
      <c r="D69">
        <f t="shared" si="23"/>
        <v>21</v>
      </c>
      <c r="E69" s="50">
        <f>C8</f>
        <v>5</v>
      </c>
      <c r="F69" s="50">
        <f t="shared" si="24"/>
        <v>105</v>
      </c>
      <c r="G69" s="50">
        <f t="shared" si="25"/>
        <v>400</v>
      </c>
      <c r="H69">
        <f>H68-D69</f>
        <v>220</v>
      </c>
      <c r="J69" s="13" t="str" cm="1">
        <f t="array" ref="J69">IFERROR(INDEX(A66:A71, MATCH(TRUE, H66:H71 &lt; J72, 0)), "No Restock Needed")</f>
        <v>No Restock Needed</v>
      </c>
      <c r="K69" s="3">
        <f>SUM(D66:D71)</f>
        <v>124</v>
      </c>
      <c r="L69" s="66">
        <f>AVERAGE(F66:F71)</f>
        <v>103.33333333333333</v>
      </c>
      <c r="M69" s="65">
        <f xml:space="preserve"> ROUND(L66/K66,3)</f>
        <v>0.26500000000000001</v>
      </c>
    </row>
    <row r="70" spans="1:13">
      <c r="A70" t="s">
        <v>122</v>
      </c>
      <c r="B70">
        <v>23969</v>
      </c>
      <c r="C70" s="49">
        <f xml:space="preserve"> AVERAGE(C12:C17)/5</f>
        <v>8.9999999999999998E-4</v>
      </c>
      <c r="D70">
        <f t="shared" si="23"/>
        <v>22</v>
      </c>
      <c r="E70" s="50">
        <f>C8</f>
        <v>5</v>
      </c>
      <c r="F70" s="50">
        <f t="shared" si="24"/>
        <v>110</v>
      </c>
      <c r="G70" s="50">
        <f t="shared" si="25"/>
        <v>510</v>
      </c>
      <c r="H70">
        <f>H69-D70</f>
        <v>198</v>
      </c>
      <c r="J70" s="3"/>
      <c r="K70" s="3"/>
      <c r="L70" s="3"/>
      <c r="M70" s="3"/>
    </row>
    <row r="71" spans="1:13">
      <c r="A71" t="s">
        <v>123</v>
      </c>
      <c r="B71">
        <v>24833</v>
      </c>
      <c r="C71" s="49">
        <f xml:space="preserve"> AVERAGE(C12:C17)/5</f>
        <v>8.9999999999999998E-4</v>
      </c>
      <c r="D71">
        <f t="shared" si="23"/>
        <v>22</v>
      </c>
      <c r="E71" s="50">
        <f>C8</f>
        <v>5</v>
      </c>
      <c r="F71" s="50">
        <f t="shared" si="24"/>
        <v>110</v>
      </c>
      <c r="G71" s="50">
        <f t="shared" si="25"/>
        <v>620</v>
      </c>
      <c r="H71">
        <f>H70-D71</f>
        <v>176</v>
      </c>
      <c r="J71" s="74" t="s">
        <v>168</v>
      </c>
      <c r="K71" s="75" t="s">
        <v>169</v>
      </c>
      <c r="L71" s="76" t="s">
        <v>132</v>
      </c>
      <c r="M71" s="63" t="s">
        <v>170</v>
      </c>
    </row>
    <row r="72" spans="1:13">
      <c r="J72" s="3">
        <f>ROUND(AVERAGE(D66:D71) * VALUE(LEFT(M72, FIND(" ", M72)-1)) +L72, 0)</f>
        <v>35</v>
      </c>
      <c r="K72" s="3">
        <f>E8 - SUM(D66:D71)</f>
        <v>176</v>
      </c>
      <c r="L72" s="3">
        <f>ROUND(AVERAGE(D66:D71) * O12, 0)</f>
        <v>25</v>
      </c>
      <c r="M72" s="3" t="s">
        <v>187</v>
      </c>
    </row>
  </sheetData>
  <phoneticPr fontId="19" type="noConversion"/>
  <conditionalFormatting sqref="H33">
    <cfRule type="expression" dxfId="159" priority="24">
      <formula>H33:H38&lt;J39</formula>
    </cfRule>
  </conditionalFormatting>
  <conditionalFormatting sqref="H55:H60">
    <cfRule type="expression" dxfId="158" priority="1">
      <formula>AND(H2&lt;$L$10, COUNTIF($H$2:H2, "&lt;"&amp;$L$10)=1)</formula>
    </cfRule>
  </conditionalFormatting>
  <pageMargins left="0.7" right="0.7" top="0.75" bottom="0.75" header="0.3" footer="0.3"/>
  <pageSetup orientation="portrait" r:id="rId1"/>
  <ignoredErrors>
    <ignoredError sqref="P6:P9" calculatedColumn="1"/>
  </ignoredErrors>
  <drawing r:id="rId2"/>
  <tableParts count="13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5336C-E759-426A-99DC-5894D9D0BD29}">
  <dimension ref="A1:T74"/>
  <sheetViews>
    <sheetView zoomScale="55" zoomScaleNormal="55" workbookViewId="0">
      <selection sqref="A1:T49"/>
    </sheetView>
  </sheetViews>
  <sheetFormatPr defaultRowHeight="15"/>
  <cols>
    <col min="1" max="1" width="15.7109375" customWidth="1"/>
    <col min="2" max="2" width="20.7109375" customWidth="1"/>
    <col min="4" max="4" width="15.7109375" customWidth="1"/>
    <col min="5" max="5" width="30.7109375" customWidth="1"/>
    <col min="6" max="6" width="8.7109375" customWidth="1"/>
    <col min="7" max="8" width="14.7109375" customWidth="1"/>
    <col min="9" max="10" width="12.7109375" customWidth="1"/>
    <col min="11" max="11" width="10.7109375" customWidth="1"/>
    <col min="12" max="12" width="50.7109375" customWidth="1"/>
    <col min="13" max="13" width="25.7109375" customWidth="1"/>
    <col min="14" max="14" width="20.7109375" customWidth="1"/>
    <col min="15" max="16" width="15.7109375" customWidth="1"/>
    <col min="17" max="17" width="25.7109375" customWidth="1"/>
    <col min="18" max="18" width="20.7109375" customWidth="1"/>
    <col min="19" max="19" width="10.7109375" customWidth="1"/>
  </cols>
  <sheetData>
    <row r="1" spans="1:20" ht="24.95" customHeight="1">
      <c r="A1" s="15" t="s">
        <v>188</v>
      </c>
      <c r="B1" s="5" t="s">
        <v>189</v>
      </c>
      <c r="C1" s="5" t="s">
        <v>2</v>
      </c>
      <c r="D1" s="5" t="s">
        <v>190</v>
      </c>
      <c r="E1" s="5" t="s">
        <v>66</v>
      </c>
      <c r="F1" s="5" t="s">
        <v>191</v>
      </c>
      <c r="G1" s="10" t="s">
        <v>192</v>
      </c>
      <c r="H1" s="5" t="s">
        <v>193</v>
      </c>
      <c r="I1" s="5" t="s">
        <v>194</v>
      </c>
      <c r="J1" s="5" t="s">
        <v>195</v>
      </c>
      <c r="K1" s="5" t="s">
        <v>196</v>
      </c>
      <c r="L1" s="5" t="s">
        <v>69</v>
      </c>
      <c r="M1" s="5" t="s">
        <v>7</v>
      </c>
      <c r="N1" s="5" t="s">
        <v>197</v>
      </c>
      <c r="O1" s="5" t="s">
        <v>198</v>
      </c>
      <c r="P1" s="5" t="s">
        <v>199</v>
      </c>
      <c r="Q1" s="5" t="s">
        <v>200</v>
      </c>
      <c r="R1" s="5" t="s">
        <v>201</v>
      </c>
      <c r="S1" s="5" t="s">
        <v>202</v>
      </c>
      <c r="T1" s="5" t="s">
        <v>203</v>
      </c>
    </row>
    <row r="2" spans="1:20" ht="20.100000000000001" customHeight="1">
      <c r="A2" s="20" t="s">
        <v>204</v>
      </c>
      <c r="B2" s="47" t="s">
        <v>205</v>
      </c>
    </row>
    <row r="3" spans="1:20" ht="24.95" customHeight="1">
      <c r="A3" s="1"/>
      <c r="B3" s="19" t="s">
        <v>206</v>
      </c>
      <c r="C3" s="7">
        <v>17.989999999999998</v>
      </c>
      <c r="D3" s="14" t="s">
        <v>207</v>
      </c>
      <c r="E3" s="4" t="s">
        <v>208</v>
      </c>
      <c r="F3" s="5">
        <v>4.9000000000000004</v>
      </c>
      <c r="G3" s="5">
        <v>312</v>
      </c>
      <c r="H3" s="5">
        <v>11</v>
      </c>
      <c r="I3" s="8" t="s">
        <v>209</v>
      </c>
      <c r="J3" s="19" t="s">
        <v>210</v>
      </c>
      <c r="K3" s="4" t="s">
        <v>211</v>
      </c>
      <c r="L3" s="6" t="s">
        <v>212</v>
      </c>
      <c r="M3" s="4" t="s">
        <v>213</v>
      </c>
      <c r="O3" s="5" t="s">
        <v>214</v>
      </c>
      <c r="P3" s="5" t="s">
        <v>215</v>
      </c>
      <c r="Q3" s="5"/>
      <c r="R3" s="5"/>
    </row>
    <row r="4" spans="1:20" ht="24.95" customHeight="1">
      <c r="A4" s="1"/>
      <c r="B4" s="4" t="s">
        <v>216</v>
      </c>
      <c r="C4" s="7">
        <v>34.99</v>
      </c>
      <c r="D4" s="14" t="s">
        <v>207</v>
      </c>
      <c r="E4" s="5" t="s">
        <v>217</v>
      </c>
      <c r="F4" s="12"/>
      <c r="G4" s="12"/>
      <c r="H4" s="5">
        <v>2</v>
      </c>
      <c r="I4" s="4" t="s">
        <v>218</v>
      </c>
      <c r="J4" s="19" t="s">
        <v>219</v>
      </c>
      <c r="K4" s="4" t="s">
        <v>220</v>
      </c>
      <c r="L4" s="9" t="s">
        <v>221</v>
      </c>
      <c r="M4" s="4" t="s">
        <v>213</v>
      </c>
      <c r="O4" s="5" t="s">
        <v>214</v>
      </c>
      <c r="P4" s="5" t="s">
        <v>215</v>
      </c>
      <c r="Q4" s="5"/>
      <c r="R4" s="5"/>
    </row>
    <row r="5" spans="1:20" ht="24.95" customHeight="1">
      <c r="A5" s="1"/>
      <c r="B5" s="19" t="s">
        <v>222</v>
      </c>
      <c r="C5" s="7">
        <v>34.99</v>
      </c>
      <c r="D5" s="14" t="s">
        <v>207</v>
      </c>
      <c r="E5" s="5" t="s">
        <v>223</v>
      </c>
      <c r="F5" s="5">
        <v>4.5</v>
      </c>
      <c r="G5" s="5">
        <v>2</v>
      </c>
      <c r="H5" s="5" t="s">
        <v>224</v>
      </c>
      <c r="I5" s="24" t="s">
        <v>225</v>
      </c>
      <c r="J5" s="19" t="s">
        <v>210</v>
      </c>
      <c r="K5" s="4" t="s">
        <v>220</v>
      </c>
      <c r="L5" s="9" t="s">
        <v>226</v>
      </c>
      <c r="M5" s="11" t="s">
        <v>227</v>
      </c>
      <c r="N5" s="4" t="s">
        <v>228</v>
      </c>
      <c r="O5" s="5" t="s">
        <v>229</v>
      </c>
      <c r="P5" s="5" t="s">
        <v>215</v>
      </c>
      <c r="Q5" s="5"/>
      <c r="R5" s="5"/>
    </row>
    <row r="6" spans="1:20" ht="24.95" customHeight="1">
      <c r="A6" s="1"/>
      <c r="B6" s="19" t="s">
        <v>230</v>
      </c>
      <c r="C6" s="7">
        <v>24.99</v>
      </c>
      <c r="D6" s="14" t="s">
        <v>207</v>
      </c>
      <c r="E6" s="5" t="s">
        <v>231</v>
      </c>
      <c r="F6" s="5">
        <v>0</v>
      </c>
      <c r="G6" s="5">
        <v>0</v>
      </c>
      <c r="H6" s="5">
        <v>3</v>
      </c>
      <c r="I6" s="5" t="s">
        <v>96</v>
      </c>
      <c r="J6" s="19" t="s">
        <v>219</v>
      </c>
      <c r="K6" s="4" t="s">
        <v>220</v>
      </c>
      <c r="L6" s="9" t="s">
        <v>232</v>
      </c>
      <c r="M6" s="16" t="s">
        <v>233</v>
      </c>
      <c r="O6" s="5" t="s">
        <v>234</v>
      </c>
      <c r="P6" s="5" t="s">
        <v>215</v>
      </c>
      <c r="Q6" s="5"/>
      <c r="R6" s="5"/>
    </row>
    <row r="7" spans="1:20" ht="24.95" customHeight="1">
      <c r="A7" s="1"/>
      <c r="B7" s="19" t="s">
        <v>235</v>
      </c>
      <c r="C7" s="7">
        <v>45.99</v>
      </c>
      <c r="D7" s="14" t="s">
        <v>207</v>
      </c>
      <c r="E7" s="5" t="s">
        <v>223</v>
      </c>
      <c r="F7" s="5">
        <v>5</v>
      </c>
      <c r="G7" s="5">
        <v>1</v>
      </c>
      <c r="H7" s="5">
        <v>1</v>
      </c>
      <c r="I7" s="5" t="s">
        <v>96</v>
      </c>
      <c r="J7" s="19" t="s">
        <v>219</v>
      </c>
      <c r="K7" s="4" t="s">
        <v>220</v>
      </c>
      <c r="L7" s="9" t="s">
        <v>236</v>
      </c>
      <c r="M7" s="11" t="s">
        <v>237</v>
      </c>
      <c r="N7" s="5" t="s">
        <v>238</v>
      </c>
      <c r="O7" s="17" t="s">
        <v>239</v>
      </c>
      <c r="P7" s="5" t="s">
        <v>215</v>
      </c>
      <c r="Q7" s="5"/>
      <c r="R7" s="5"/>
    </row>
    <row r="8" spans="1:20" ht="24.95" customHeight="1">
      <c r="A8" s="1"/>
      <c r="B8" s="19" t="s">
        <v>240</v>
      </c>
      <c r="C8" s="7">
        <v>49.99</v>
      </c>
      <c r="D8" s="14" t="s">
        <v>207</v>
      </c>
      <c r="E8" s="5" t="s">
        <v>223</v>
      </c>
      <c r="F8" s="5">
        <v>5</v>
      </c>
      <c r="G8" s="5">
        <v>1</v>
      </c>
      <c r="H8" s="5">
        <v>2</v>
      </c>
      <c r="I8" s="5" t="s">
        <v>96</v>
      </c>
      <c r="J8" s="4" t="s">
        <v>241</v>
      </c>
      <c r="K8" s="4" t="s">
        <v>220</v>
      </c>
      <c r="L8" s="9" t="s">
        <v>242</v>
      </c>
      <c r="M8" s="5" t="s">
        <v>243</v>
      </c>
      <c r="N8" s="4" t="s">
        <v>244</v>
      </c>
      <c r="O8" s="5" t="s">
        <v>245</v>
      </c>
      <c r="P8" s="5" t="s">
        <v>215</v>
      </c>
      <c r="Q8" s="5"/>
      <c r="R8" s="5"/>
    </row>
    <row r="9" spans="1:20" ht="20.100000000000001" customHeight="1">
      <c r="A9" s="20" t="s">
        <v>246</v>
      </c>
      <c r="B9" s="4"/>
      <c r="C9" s="5"/>
      <c r="D9" s="5"/>
      <c r="E9" s="5"/>
      <c r="F9" s="5"/>
      <c r="G9" s="5"/>
      <c r="H9" s="5"/>
      <c r="I9" s="5"/>
      <c r="J9" s="19"/>
      <c r="K9" s="5"/>
      <c r="L9" s="10"/>
    </row>
    <row r="10" spans="1:20" ht="24.95" customHeight="1">
      <c r="A10" s="18"/>
      <c r="B10" s="19" t="s">
        <v>247</v>
      </c>
      <c r="C10" s="7">
        <v>24.99</v>
      </c>
      <c r="D10" s="7">
        <v>7.83</v>
      </c>
      <c r="E10" s="5" t="s">
        <v>231</v>
      </c>
      <c r="F10" s="5">
        <v>4.9000000000000004</v>
      </c>
      <c r="G10" s="5">
        <v>214</v>
      </c>
      <c r="H10" s="5">
        <v>1</v>
      </c>
      <c r="I10" s="5" t="s">
        <v>96</v>
      </c>
      <c r="J10" s="19" t="s">
        <v>241</v>
      </c>
      <c r="K10" s="4" t="s">
        <v>220</v>
      </c>
      <c r="L10" s="9" t="s">
        <v>248</v>
      </c>
      <c r="M10" t="s">
        <v>249</v>
      </c>
      <c r="N10" t="s">
        <v>250</v>
      </c>
      <c r="O10" s="5" t="s">
        <v>214</v>
      </c>
      <c r="P10" s="5" t="s">
        <v>215</v>
      </c>
      <c r="Q10" s="17" t="s">
        <v>251</v>
      </c>
      <c r="R10" s="17"/>
    </row>
    <row r="11" spans="1:20" ht="24.95" customHeight="1">
      <c r="A11" s="18"/>
      <c r="B11" s="19" t="s">
        <v>252</v>
      </c>
      <c r="C11" s="7">
        <v>24.99</v>
      </c>
      <c r="D11" s="7">
        <v>7.83</v>
      </c>
      <c r="E11" s="5" t="s">
        <v>231</v>
      </c>
      <c r="F11" s="5">
        <v>4.9000000000000004</v>
      </c>
      <c r="G11" s="5">
        <v>346</v>
      </c>
      <c r="H11" s="5">
        <v>1</v>
      </c>
      <c r="I11" s="5" t="s">
        <v>96</v>
      </c>
      <c r="J11" s="19" t="s">
        <v>241</v>
      </c>
      <c r="K11" s="4" t="s">
        <v>220</v>
      </c>
      <c r="L11" s="9" t="s">
        <v>253</v>
      </c>
      <c r="M11" t="s">
        <v>254</v>
      </c>
      <c r="N11" s="25" t="s">
        <v>255</v>
      </c>
      <c r="O11" s="5" t="s">
        <v>214</v>
      </c>
      <c r="P11" s="5" t="s">
        <v>215</v>
      </c>
      <c r="Q11" s="17" t="s">
        <v>251</v>
      </c>
      <c r="R11" s="17"/>
    </row>
    <row r="12" spans="1:20" ht="24.95" customHeight="1">
      <c r="A12" s="18"/>
      <c r="B12" s="4" t="s">
        <v>256</v>
      </c>
      <c r="C12" s="7">
        <v>24.99</v>
      </c>
      <c r="D12" s="7">
        <v>7.83</v>
      </c>
      <c r="E12" s="5" t="s">
        <v>231</v>
      </c>
      <c r="F12" s="5">
        <v>4.9000000000000004</v>
      </c>
      <c r="G12" s="5" t="s">
        <v>257</v>
      </c>
      <c r="H12" s="5">
        <v>2</v>
      </c>
      <c r="I12" s="5" t="s">
        <v>96</v>
      </c>
      <c r="J12" s="19" t="s">
        <v>241</v>
      </c>
      <c r="K12" s="4" t="s">
        <v>220</v>
      </c>
      <c r="L12" s="9" t="s">
        <v>138</v>
      </c>
      <c r="M12" t="s">
        <v>138</v>
      </c>
      <c r="O12" s="5" t="s">
        <v>214</v>
      </c>
      <c r="P12" s="5" t="s">
        <v>215</v>
      </c>
      <c r="Q12" s="17" t="s">
        <v>251</v>
      </c>
      <c r="R12" s="17"/>
    </row>
    <row r="13" spans="1:20" ht="24.95" customHeight="1">
      <c r="A13" s="18"/>
      <c r="B13" s="4" t="s">
        <v>258</v>
      </c>
      <c r="C13" s="7">
        <v>29.99</v>
      </c>
      <c r="D13" s="7">
        <v>7.83</v>
      </c>
      <c r="E13" s="5" t="s">
        <v>259</v>
      </c>
      <c r="F13" s="5">
        <v>4.9000000000000004</v>
      </c>
      <c r="G13" s="5">
        <v>80</v>
      </c>
      <c r="H13" s="5">
        <v>1</v>
      </c>
      <c r="I13" s="5" t="s">
        <v>96</v>
      </c>
      <c r="J13" s="19" t="s">
        <v>219</v>
      </c>
      <c r="K13" s="4" t="s">
        <v>220</v>
      </c>
      <c r="L13" s="9" t="s">
        <v>260</v>
      </c>
      <c r="M13" t="s">
        <v>261</v>
      </c>
      <c r="N13" t="s">
        <v>262</v>
      </c>
      <c r="O13" s="5" t="s">
        <v>263</v>
      </c>
      <c r="P13" s="5" t="s">
        <v>215</v>
      </c>
      <c r="Q13" s="17" t="s">
        <v>264</v>
      </c>
      <c r="R13" s="17"/>
    </row>
    <row r="14" spans="1:20" ht="24.95" customHeight="1">
      <c r="A14" s="18"/>
      <c r="B14" s="4" t="s">
        <v>265</v>
      </c>
      <c r="C14" s="7">
        <v>29.99</v>
      </c>
      <c r="D14" s="7">
        <v>7.83</v>
      </c>
      <c r="E14" s="5" t="s">
        <v>259</v>
      </c>
      <c r="F14" s="5">
        <v>4.9000000000000004</v>
      </c>
      <c r="G14" s="5">
        <v>100</v>
      </c>
      <c r="H14" s="5">
        <v>1</v>
      </c>
      <c r="I14" s="5" t="s">
        <v>96</v>
      </c>
      <c r="J14" s="19" t="s">
        <v>266</v>
      </c>
      <c r="K14" s="4" t="s">
        <v>220</v>
      </c>
      <c r="L14" s="9" t="s">
        <v>267</v>
      </c>
      <c r="M14" t="s">
        <v>138</v>
      </c>
      <c r="N14" s="25" t="s">
        <v>268</v>
      </c>
      <c r="O14" s="5" t="s">
        <v>245</v>
      </c>
      <c r="P14" s="5" t="s">
        <v>215</v>
      </c>
      <c r="Q14" s="17" t="s">
        <v>264</v>
      </c>
      <c r="R14" s="17"/>
    </row>
    <row r="15" spans="1:20" ht="18" customHeight="1">
      <c r="A15" s="18"/>
      <c r="B15" s="4" t="s">
        <v>269</v>
      </c>
      <c r="C15" s="7">
        <v>29.99</v>
      </c>
      <c r="D15" s="7">
        <v>7.83</v>
      </c>
      <c r="E15" s="5" t="s">
        <v>259</v>
      </c>
      <c r="F15" s="5">
        <v>4.9000000000000004</v>
      </c>
      <c r="G15" s="5">
        <v>85</v>
      </c>
      <c r="H15" s="5">
        <v>1</v>
      </c>
      <c r="I15" s="5" t="s">
        <v>96</v>
      </c>
      <c r="J15" s="19" t="s">
        <v>266</v>
      </c>
      <c r="K15" s="4" t="s">
        <v>220</v>
      </c>
      <c r="L15" s="9" t="s">
        <v>270</v>
      </c>
      <c r="M15" t="s">
        <v>271</v>
      </c>
      <c r="N15" t="s">
        <v>272</v>
      </c>
      <c r="O15" s="5" t="s">
        <v>245</v>
      </c>
      <c r="P15" s="5" t="s">
        <v>215</v>
      </c>
      <c r="Q15" s="17" t="s">
        <v>264</v>
      </c>
      <c r="R15" s="17"/>
    </row>
    <row r="16" spans="1:20" ht="18" customHeight="1">
      <c r="A16" s="18"/>
      <c r="B16" s="4" t="s">
        <v>273</v>
      </c>
      <c r="C16" s="7">
        <v>29.99</v>
      </c>
      <c r="D16" s="7">
        <v>7.83</v>
      </c>
      <c r="E16" s="5" t="s">
        <v>259</v>
      </c>
      <c r="F16" s="5">
        <v>4.9000000000000004</v>
      </c>
      <c r="G16" s="5">
        <v>89</v>
      </c>
      <c r="H16" s="5">
        <v>1</v>
      </c>
      <c r="I16" s="5" t="s">
        <v>96</v>
      </c>
      <c r="J16" s="19" t="s">
        <v>266</v>
      </c>
      <c r="K16" s="4" t="s">
        <v>220</v>
      </c>
      <c r="L16" s="9" t="s">
        <v>274</v>
      </c>
      <c r="M16" t="s">
        <v>275</v>
      </c>
      <c r="O16" s="5" t="s">
        <v>245</v>
      </c>
      <c r="P16" s="5" t="s">
        <v>215</v>
      </c>
      <c r="Q16" s="17" t="s">
        <v>264</v>
      </c>
      <c r="R16" s="17"/>
    </row>
    <row r="17" spans="1:18" ht="18" customHeight="1">
      <c r="A17" s="18"/>
      <c r="B17" s="4" t="s">
        <v>276</v>
      </c>
      <c r="C17" s="7">
        <v>34.99</v>
      </c>
      <c r="D17" s="7">
        <v>7.83</v>
      </c>
      <c r="E17" s="5" t="s">
        <v>259</v>
      </c>
      <c r="F17" s="5">
        <v>4.9000000000000004</v>
      </c>
      <c r="G17" s="5">
        <v>159</v>
      </c>
      <c r="H17" s="5">
        <v>1</v>
      </c>
      <c r="I17" s="5" t="s">
        <v>96</v>
      </c>
      <c r="J17" s="19" t="s">
        <v>266</v>
      </c>
      <c r="K17" s="4" t="s">
        <v>220</v>
      </c>
      <c r="L17" s="9" t="s">
        <v>277</v>
      </c>
      <c r="M17" t="s">
        <v>278</v>
      </c>
      <c r="N17" t="s">
        <v>279</v>
      </c>
      <c r="O17" s="17" t="s">
        <v>239</v>
      </c>
      <c r="P17" s="5" t="s">
        <v>215</v>
      </c>
      <c r="Q17" s="17" t="s">
        <v>264</v>
      </c>
      <c r="R17" s="17"/>
    </row>
    <row r="18" spans="1:18" ht="18" customHeight="1">
      <c r="A18" s="18"/>
      <c r="B18" s="4" t="s">
        <v>280</v>
      </c>
      <c r="C18" s="7">
        <v>34.99</v>
      </c>
      <c r="D18" s="7">
        <v>7.83</v>
      </c>
      <c r="E18" s="5" t="s">
        <v>259</v>
      </c>
      <c r="F18" s="5">
        <v>4.9000000000000004</v>
      </c>
      <c r="G18" s="5">
        <v>10</v>
      </c>
      <c r="H18" s="5">
        <v>1</v>
      </c>
      <c r="I18" s="5" t="s">
        <v>96</v>
      </c>
      <c r="J18" s="19" t="s">
        <v>266</v>
      </c>
      <c r="K18" s="4" t="s">
        <v>220</v>
      </c>
      <c r="L18" s="9" t="s">
        <v>281</v>
      </c>
      <c r="M18" t="s">
        <v>282</v>
      </c>
      <c r="N18" t="s">
        <v>283</v>
      </c>
      <c r="O18" s="5" t="s">
        <v>214</v>
      </c>
      <c r="P18" s="5" t="s">
        <v>215</v>
      </c>
      <c r="Q18" s="17" t="s">
        <v>264</v>
      </c>
      <c r="R18" s="17"/>
    </row>
    <row r="19" spans="1:18" ht="18" customHeight="1">
      <c r="A19" s="18"/>
      <c r="B19" s="4" t="s">
        <v>284</v>
      </c>
      <c r="C19" s="7">
        <v>34.99</v>
      </c>
      <c r="D19" s="7">
        <v>7.83</v>
      </c>
      <c r="E19" s="5" t="s">
        <v>259</v>
      </c>
      <c r="F19" s="5">
        <v>4.9000000000000004</v>
      </c>
      <c r="G19" s="5">
        <v>16</v>
      </c>
      <c r="H19" s="5">
        <v>1</v>
      </c>
      <c r="I19" s="5" t="s">
        <v>96</v>
      </c>
      <c r="J19" s="19" t="s">
        <v>266</v>
      </c>
      <c r="K19" s="4" t="s">
        <v>220</v>
      </c>
      <c r="L19" s="9" t="s">
        <v>285</v>
      </c>
      <c r="M19" t="s">
        <v>138</v>
      </c>
      <c r="O19" s="5" t="s">
        <v>245</v>
      </c>
      <c r="P19" s="5" t="s">
        <v>215</v>
      </c>
      <c r="Q19" s="17" t="s">
        <v>264</v>
      </c>
      <c r="R19" s="17"/>
    </row>
    <row r="20" spans="1:18" ht="18" customHeight="1">
      <c r="A20" s="18"/>
      <c r="B20" s="4" t="s">
        <v>286</v>
      </c>
      <c r="C20" s="7">
        <v>34.99</v>
      </c>
      <c r="D20" s="7">
        <v>7.83</v>
      </c>
      <c r="E20" s="5" t="s">
        <v>259</v>
      </c>
      <c r="F20" s="5">
        <v>4.9000000000000004</v>
      </c>
      <c r="G20" s="5">
        <v>22</v>
      </c>
      <c r="H20" s="5">
        <v>1</v>
      </c>
      <c r="I20" s="5" t="s">
        <v>96</v>
      </c>
      <c r="J20" s="19" t="s">
        <v>266</v>
      </c>
      <c r="K20" s="4" t="s">
        <v>220</v>
      </c>
      <c r="L20" s="9" t="s">
        <v>287</v>
      </c>
      <c r="M20" t="s">
        <v>138</v>
      </c>
      <c r="O20" s="5" t="s">
        <v>245</v>
      </c>
      <c r="P20" s="5" t="s">
        <v>215</v>
      </c>
      <c r="Q20" s="17" t="s">
        <v>264</v>
      </c>
      <c r="R20" s="17"/>
    </row>
    <row r="21" spans="1:18" ht="18" customHeight="1">
      <c r="A21" s="18"/>
      <c r="B21" s="4" t="s">
        <v>288</v>
      </c>
      <c r="C21" s="7">
        <v>34.99</v>
      </c>
      <c r="D21" s="7">
        <v>7.83</v>
      </c>
      <c r="E21" s="5" t="s">
        <v>259</v>
      </c>
      <c r="F21" s="5">
        <v>4.9000000000000004</v>
      </c>
      <c r="G21" s="5">
        <v>22</v>
      </c>
      <c r="H21" s="5">
        <v>1</v>
      </c>
      <c r="I21" s="5" t="s">
        <v>96</v>
      </c>
      <c r="J21" s="19" t="s">
        <v>266</v>
      </c>
      <c r="K21" s="4" t="s">
        <v>220</v>
      </c>
      <c r="L21" s="9" t="s">
        <v>289</v>
      </c>
      <c r="M21" t="s">
        <v>290</v>
      </c>
      <c r="O21" s="5" t="s">
        <v>245</v>
      </c>
      <c r="P21" s="5" t="s">
        <v>215</v>
      </c>
      <c r="Q21" s="17" t="s">
        <v>264</v>
      </c>
      <c r="R21" s="17"/>
    </row>
    <row r="22" spans="1:18" ht="18" customHeight="1">
      <c r="A22" s="20" t="s">
        <v>291</v>
      </c>
      <c r="B22" s="4"/>
      <c r="C22" s="5"/>
      <c r="D22" s="4" t="s">
        <v>292</v>
      </c>
      <c r="E22" s="5"/>
      <c r="F22" s="5"/>
      <c r="G22" s="5"/>
      <c r="H22" s="5"/>
      <c r="I22" s="5"/>
      <c r="J22" s="19"/>
      <c r="K22" s="4"/>
      <c r="L22" s="10"/>
      <c r="O22" s="5"/>
      <c r="P22" s="5"/>
    </row>
    <row r="23" spans="1:18" ht="18" customHeight="1">
      <c r="A23" s="21" t="s">
        <v>293</v>
      </c>
      <c r="B23" s="11" t="s">
        <v>294</v>
      </c>
      <c r="C23" s="7">
        <v>24.99</v>
      </c>
      <c r="D23" s="7">
        <v>0</v>
      </c>
      <c r="E23" s="5" t="s">
        <v>231</v>
      </c>
      <c r="F23" s="5">
        <v>5</v>
      </c>
      <c r="G23" s="5">
        <v>3</v>
      </c>
      <c r="H23" s="5">
        <v>1</v>
      </c>
      <c r="I23" s="4" t="s">
        <v>295</v>
      </c>
      <c r="J23" s="19" t="s">
        <v>210</v>
      </c>
      <c r="K23" s="4" t="s">
        <v>220</v>
      </c>
      <c r="L23" s="9" t="s">
        <v>296</v>
      </c>
      <c r="M23" s="2" t="s">
        <v>297</v>
      </c>
      <c r="N23" s="25" t="s">
        <v>298</v>
      </c>
      <c r="O23" s="5" t="s">
        <v>245</v>
      </c>
      <c r="P23" s="5" t="s">
        <v>215</v>
      </c>
    </row>
    <row r="24" spans="1:18" ht="18" customHeight="1">
      <c r="A24" s="18"/>
      <c r="B24" s="4" t="s">
        <v>299</v>
      </c>
      <c r="C24" s="7">
        <v>24.99</v>
      </c>
      <c r="D24" s="7">
        <v>0</v>
      </c>
      <c r="E24" s="5" t="s">
        <v>231</v>
      </c>
      <c r="F24" s="5">
        <v>5</v>
      </c>
      <c r="G24" s="5">
        <v>3</v>
      </c>
      <c r="H24" s="5">
        <v>2</v>
      </c>
      <c r="I24" s="4" t="s">
        <v>300</v>
      </c>
      <c r="J24" s="19" t="s">
        <v>219</v>
      </c>
      <c r="K24" s="4" t="s">
        <v>220</v>
      </c>
      <c r="L24" s="9" t="s">
        <v>301</v>
      </c>
      <c r="M24" s="2" t="s">
        <v>297</v>
      </c>
      <c r="O24" s="5" t="s">
        <v>302</v>
      </c>
      <c r="P24" s="5" t="s">
        <v>215</v>
      </c>
    </row>
    <row r="25" spans="1:18" ht="18" customHeight="1">
      <c r="A25" s="18"/>
      <c r="B25" s="4" t="s">
        <v>303</v>
      </c>
      <c r="C25" s="7">
        <v>24.99</v>
      </c>
      <c r="D25" s="7">
        <v>0</v>
      </c>
      <c r="E25" s="5" t="s">
        <v>231</v>
      </c>
      <c r="F25" s="5">
        <v>5</v>
      </c>
      <c r="G25" s="5">
        <v>3</v>
      </c>
      <c r="H25" s="5">
        <v>2</v>
      </c>
      <c r="I25" s="4" t="s">
        <v>304</v>
      </c>
      <c r="J25" s="19" t="s">
        <v>219</v>
      </c>
      <c r="K25" s="4" t="s">
        <v>220</v>
      </c>
      <c r="L25" s="9" t="s">
        <v>305</v>
      </c>
      <c r="M25" s="2" t="s">
        <v>297</v>
      </c>
      <c r="N25" s="25" t="s">
        <v>298</v>
      </c>
      <c r="O25" s="5" t="s">
        <v>306</v>
      </c>
      <c r="P25" s="5" t="s">
        <v>215</v>
      </c>
    </row>
    <row r="26" spans="1:18" ht="18" customHeight="1">
      <c r="A26" s="18"/>
      <c r="B26" s="4" t="s">
        <v>307</v>
      </c>
      <c r="C26" s="7">
        <v>24.99</v>
      </c>
      <c r="D26" s="7">
        <v>0</v>
      </c>
      <c r="E26" s="19" t="s">
        <v>308</v>
      </c>
      <c r="F26" s="5" t="s">
        <v>96</v>
      </c>
      <c r="G26" s="5">
        <v>0</v>
      </c>
      <c r="H26" s="5">
        <v>1</v>
      </c>
      <c r="I26" s="24" t="s">
        <v>309</v>
      </c>
      <c r="J26" s="19" t="s">
        <v>219</v>
      </c>
      <c r="K26" s="4" t="s">
        <v>220</v>
      </c>
      <c r="L26" s="9" t="s">
        <v>310</v>
      </c>
      <c r="M26" s="23" t="s">
        <v>311</v>
      </c>
      <c r="N26" t="s">
        <v>138</v>
      </c>
      <c r="O26" s="5" t="s">
        <v>312</v>
      </c>
      <c r="P26" s="5" t="s">
        <v>215</v>
      </c>
      <c r="Q26" t="s">
        <v>313</v>
      </c>
      <c r="R26" t="s">
        <v>313</v>
      </c>
    </row>
    <row r="27" spans="1:18" ht="18" customHeight="1">
      <c r="A27" s="20" t="s">
        <v>314</v>
      </c>
      <c r="B27" s="4"/>
      <c r="C27" s="5"/>
      <c r="D27" s="5"/>
      <c r="E27" s="5"/>
      <c r="F27" s="5"/>
      <c r="G27" s="5"/>
      <c r="H27" s="5"/>
      <c r="I27" s="5"/>
      <c r="J27" s="19"/>
      <c r="K27" s="4"/>
      <c r="L27" s="10"/>
    </row>
    <row r="28" spans="1:18" ht="18" customHeight="1">
      <c r="A28" s="18"/>
      <c r="B28" s="4" t="s">
        <v>315</v>
      </c>
      <c r="C28" s="7">
        <v>34.99</v>
      </c>
      <c r="D28" s="5" t="s">
        <v>316</v>
      </c>
      <c r="E28" s="5" t="s">
        <v>317</v>
      </c>
      <c r="F28" s="5" t="s">
        <v>96</v>
      </c>
      <c r="G28" s="5" t="s">
        <v>96</v>
      </c>
      <c r="H28" s="5">
        <v>1</v>
      </c>
      <c r="I28" s="5" t="s">
        <v>96</v>
      </c>
      <c r="J28" s="19" t="s">
        <v>219</v>
      </c>
      <c r="K28" s="4" t="s">
        <v>318</v>
      </c>
      <c r="L28" s="9" t="s">
        <v>319</v>
      </c>
      <c r="O28" s="5" t="s">
        <v>214</v>
      </c>
      <c r="P28" s="5" t="s">
        <v>215</v>
      </c>
    </row>
    <row r="29" spans="1:18" ht="18" customHeight="1">
      <c r="A29" s="18"/>
      <c r="B29" s="4" t="s">
        <v>320</v>
      </c>
      <c r="C29" s="7">
        <v>34.99</v>
      </c>
      <c r="D29" s="5" t="s">
        <v>316</v>
      </c>
      <c r="E29" s="5" t="s">
        <v>317</v>
      </c>
      <c r="F29" s="5" t="s">
        <v>96</v>
      </c>
      <c r="G29" s="5" t="s">
        <v>96</v>
      </c>
      <c r="H29" s="5">
        <v>1</v>
      </c>
      <c r="I29" s="5" t="s">
        <v>96</v>
      </c>
      <c r="J29" s="19" t="s">
        <v>219</v>
      </c>
      <c r="K29" s="4" t="s">
        <v>318</v>
      </c>
      <c r="L29" s="9" t="s">
        <v>321</v>
      </c>
      <c r="O29" s="5" t="s">
        <v>214</v>
      </c>
      <c r="P29" s="5" t="s">
        <v>215</v>
      </c>
    </row>
    <row r="30" spans="1:18" ht="18" customHeight="1">
      <c r="A30" s="18"/>
      <c r="B30" s="4" t="s">
        <v>322</v>
      </c>
      <c r="C30" s="7">
        <v>34.99</v>
      </c>
      <c r="D30" s="5" t="s">
        <v>316</v>
      </c>
      <c r="E30" s="5" t="s">
        <v>317</v>
      </c>
      <c r="F30" s="5" t="s">
        <v>96</v>
      </c>
      <c r="G30" s="5" t="s">
        <v>96</v>
      </c>
      <c r="H30" s="5">
        <v>1</v>
      </c>
      <c r="I30" s="5" t="s">
        <v>96</v>
      </c>
      <c r="J30" s="19" t="s">
        <v>219</v>
      </c>
      <c r="K30" s="4" t="s">
        <v>318</v>
      </c>
      <c r="L30" s="9" t="s">
        <v>323</v>
      </c>
      <c r="O30" s="5" t="s">
        <v>245</v>
      </c>
      <c r="P30" s="5" t="s">
        <v>215</v>
      </c>
    </row>
    <row r="31" spans="1:18" ht="18" customHeight="1">
      <c r="A31" s="18"/>
      <c r="B31" s="4" t="s">
        <v>324</v>
      </c>
      <c r="C31" s="7">
        <v>34.99</v>
      </c>
      <c r="D31" s="5" t="s">
        <v>316</v>
      </c>
      <c r="E31" s="5" t="s">
        <v>317</v>
      </c>
      <c r="F31" s="5" t="s">
        <v>96</v>
      </c>
      <c r="G31" s="5" t="s">
        <v>96</v>
      </c>
      <c r="H31" s="5">
        <v>1</v>
      </c>
      <c r="I31" s="5" t="s">
        <v>96</v>
      </c>
      <c r="J31" s="19" t="s">
        <v>219</v>
      </c>
      <c r="K31" s="4" t="s">
        <v>318</v>
      </c>
      <c r="L31" s="9" t="s">
        <v>325</v>
      </c>
      <c r="M31" t="s">
        <v>326</v>
      </c>
      <c r="O31" s="5" t="s">
        <v>245</v>
      </c>
      <c r="P31" s="5" t="s">
        <v>215</v>
      </c>
    </row>
    <row r="32" spans="1:18" ht="18" customHeight="1">
      <c r="A32" s="18"/>
      <c r="B32" s="4" t="s">
        <v>327</v>
      </c>
      <c r="C32" s="7">
        <v>34.99</v>
      </c>
      <c r="D32" s="5" t="s">
        <v>316</v>
      </c>
      <c r="E32" s="5" t="s">
        <v>317</v>
      </c>
      <c r="F32" s="5" t="s">
        <v>96</v>
      </c>
      <c r="G32" s="5" t="s">
        <v>96</v>
      </c>
      <c r="H32" s="5">
        <v>1</v>
      </c>
      <c r="I32" s="5" t="s">
        <v>96</v>
      </c>
      <c r="J32" s="19" t="s">
        <v>219</v>
      </c>
      <c r="K32" s="4" t="s">
        <v>318</v>
      </c>
      <c r="L32" s="22" t="s">
        <v>328</v>
      </c>
      <c r="O32" s="5" t="s">
        <v>214</v>
      </c>
      <c r="P32" s="5" t="s">
        <v>215</v>
      </c>
    </row>
    <row r="33" spans="1:20" ht="18" customHeight="1">
      <c r="A33" s="20" t="s">
        <v>329</v>
      </c>
      <c r="B33" s="4"/>
      <c r="C33" s="5"/>
      <c r="E33" s="3"/>
      <c r="F33" s="3"/>
      <c r="G33" s="3"/>
      <c r="H33" s="3"/>
      <c r="I33" s="3"/>
      <c r="J33" s="44"/>
      <c r="K33" s="4"/>
      <c r="L33" s="3"/>
    </row>
    <row r="34" spans="1:20" ht="18" customHeight="1">
      <c r="A34" s="18"/>
      <c r="B34" s="4" t="s">
        <v>330</v>
      </c>
      <c r="C34" s="7">
        <v>35</v>
      </c>
      <c r="E34" s="3" t="s">
        <v>331</v>
      </c>
      <c r="F34" s="3">
        <v>4.9000000000000004</v>
      </c>
      <c r="G34" s="3">
        <v>25</v>
      </c>
      <c r="H34" s="3">
        <v>1</v>
      </c>
      <c r="I34" s="24" t="s">
        <v>309</v>
      </c>
      <c r="J34" s="19" t="s">
        <v>219</v>
      </c>
      <c r="K34" s="4" t="s">
        <v>220</v>
      </c>
      <c r="L34" s="22" t="s">
        <v>332</v>
      </c>
      <c r="M34" s="23" t="s">
        <v>333</v>
      </c>
      <c r="N34" s="25" t="s">
        <v>334</v>
      </c>
      <c r="O34" s="5" t="s">
        <v>214</v>
      </c>
      <c r="P34" s="5" t="s">
        <v>215</v>
      </c>
      <c r="Q34" s="5" t="s">
        <v>335</v>
      </c>
      <c r="R34" s="5"/>
      <c r="T34" s="5" t="s">
        <v>77</v>
      </c>
    </row>
    <row r="35" spans="1:20" ht="18" customHeight="1">
      <c r="A35" s="20" t="s">
        <v>336</v>
      </c>
      <c r="B35" s="4"/>
      <c r="C35" s="5"/>
      <c r="E35" s="3"/>
      <c r="F35" s="3"/>
      <c r="G35" s="3"/>
      <c r="H35" s="3"/>
      <c r="I35" s="3"/>
      <c r="J35" s="44"/>
      <c r="K35" s="4"/>
      <c r="L35" s="3"/>
    </row>
    <row r="36" spans="1:20" ht="18" customHeight="1">
      <c r="A36" s="18"/>
      <c r="B36" s="4" t="s">
        <v>337</v>
      </c>
      <c r="C36" s="7">
        <v>19.989999999999998</v>
      </c>
      <c r="D36" s="7">
        <v>8.99</v>
      </c>
      <c r="E36" s="5" t="s">
        <v>231</v>
      </c>
      <c r="F36" s="3">
        <v>4.9000000000000004</v>
      </c>
      <c r="G36" s="3">
        <v>28</v>
      </c>
      <c r="H36" s="3">
        <v>2</v>
      </c>
      <c r="I36" s="3" t="s">
        <v>338</v>
      </c>
      <c r="J36" s="19" t="s">
        <v>241</v>
      </c>
      <c r="K36" s="4" t="s">
        <v>220</v>
      </c>
      <c r="L36" s="22" t="s">
        <v>339</v>
      </c>
      <c r="M36" t="s">
        <v>340</v>
      </c>
      <c r="N36" s="25" t="s">
        <v>341</v>
      </c>
      <c r="O36" s="5" t="s">
        <v>214</v>
      </c>
      <c r="P36" s="5" t="s">
        <v>215</v>
      </c>
      <c r="Q36" s="5" t="s">
        <v>342</v>
      </c>
      <c r="R36" s="5"/>
    </row>
    <row r="37" spans="1:20">
      <c r="A37" s="18"/>
      <c r="B37" s="4" t="s">
        <v>343</v>
      </c>
      <c r="C37" s="7">
        <v>29.99</v>
      </c>
      <c r="D37" s="7">
        <v>8.99</v>
      </c>
      <c r="E37" s="10" t="s">
        <v>344</v>
      </c>
      <c r="F37" s="3" t="s">
        <v>96</v>
      </c>
      <c r="G37" s="3">
        <v>0</v>
      </c>
      <c r="H37" s="3">
        <v>1</v>
      </c>
      <c r="I37" s="13" t="s">
        <v>345</v>
      </c>
      <c r="J37" s="19" t="s">
        <v>241</v>
      </c>
      <c r="K37" s="4" t="s">
        <v>220</v>
      </c>
      <c r="L37" s="22" t="s">
        <v>346</v>
      </c>
      <c r="M37" t="s">
        <v>340</v>
      </c>
      <c r="O37" s="5" t="s">
        <v>214</v>
      </c>
      <c r="P37" s="5" t="s">
        <v>215</v>
      </c>
      <c r="Q37" s="5" t="s">
        <v>347</v>
      </c>
      <c r="R37" s="5"/>
    </row>
    <row r="38" spans="1:20">
      <c r="A38" s="18"/>
      <c r="B38" s="4" t="s">
        <v>348</v>
      </c>
      <c r="C38" s="7">
        <v>29.99</v>
      </c>
      <c r="D38" s="7">
        <v>8.99</v>
      </c>
      <c r="E38" s="10" t="s">
        <v>344</v>
      </c>
      <c r="F38" s="3" t="s">
        <v>96</v>
      </c>
      <c r="G38" s="3">
        <v>0</v>
      </c>
      <c r="H38" s="3">
        <v>1</v>
      </c>
      <c r="I38" s="3" t="s">
        <v>96</v>
      </c>
      <c r="J38" s="19" t="s">
        <v>241</v>
      </c>
      <c r="K38" s="4" t="s">
        <v>220</v>
      </c>
      <c r="L38" s="22" t="s">
        <v>349</v>
      </c>
      <c r="M38" t="s">
        <v>340</v>
      </c>
      <c r="O38" s="5" t="s">
        <v>214</v>
      </c>
      <c r="P38" s="5" t="s">
        <v>215</v>
      </c>
      <c r="Q38" s="5" t="s">
        <v>347</v>
      </c>
      <c r="R38" s="5"/>
    </row>
    <row r="39" spans="1:20">
      <c r="A39" s="18"/>
      <c r="B39" s="4" t="s">
        <v>350</v>
      </c>
      <c r="C39" s="7">
        <v>34.99</v>
      </c>
      <c r="D39" s="7">
        <v>8.99</v>
      </c>
      <c r="E39" s="5" t="s">
        <v>223</v>
      </c>
      <c r="F39" s="3" t="s">
        <v>96</v>
      </c>
      <c r="G39" s="3">
        <v>0</v>
      </c>
      <c r="H39" s="3">
        <v>3</v>
      </c>
      <c r="I39" s="3" t="s">
        <v>96</v>
      </c>
      <c r="J39" s="19" t="s">
        <v>241</v>
      </c>
      <c r="K39" s="4" t="s">
        <v>220</v>
      </c>
      <c r="L39" s="22" t="s">
        <v>351</v>
      </c>
      <c r="M39" t="s">
        <v>340</v>
      </c>
      <c r="O39" s="5" t="s">
        <v>214</v>
      </c>
      <c r="P39" s="5" t="s">
        <v>215</v>
      </c>
      <c r="Q39" s="5" t="s">
        <v>347</v>
      </c>
      <c r="R39" s="5"/>
    </row>
    <row r="40" spans="1:20">
      <c r="A40" s="18"/>
      <c r="B40" s="4" t="s">
        <v>352</v>
      </c>
      <c r="C40" s="7">
        <v>34.99</v>
      </c>
      <c r="D40" s="7">
        <v>8.99</v>
      </c>
      <c r="E40" s="5" t="s">
        <v>223</v>
      </c>
      <c r="F40" s="3">
        <v>5</v>
      </c>
      <c r="G40" s="5">
        <v>1</v>
      </c>
      <c r="H40" s="5">
        <v>1</v>
      </c>
      <c r="I40" s="3" t="s">
        <v>96</v>
      </c>
      <c r="J40" s="19" t="s">
        <v>241</v>
      </c>
      <c r="K40" s="4" t="s">
        <v>220</v>
      </c>
      <c r="L40" s="22" t="s">
        <v>353</v>
      </c>
      <c r="M40" t="s">
        <v>340</v>
      </c>
      <c r="O40" s="5" t="s">
        <v>245</v>
      </c>
      <c r="P40" s="5" t="s">
        <v>215</v>
      </c>
      <c r="Q40" s="5" t="s">
        <v>347</v>
      </c>
      <c r="R40" s="5"/>
    </row>
    <row r="41" spans="1:20">
      <c r="A41" s="18"/>
      <c r="B41" s="4" t="s">
        <v>354</v>
      </c>
      <c r="C41" s="7">
        <v>34.99</v>
      </c>
      <c r="D41" s="7">
        <v>8.99</v>
      </c>
      <c r="E41" s="5" t="s">
        <v>223</v>
      </c>
      <c r="F41" s="3">
        <v>5</v>
      </c>
      <c r="G41" s="5">
        <v>1</v>
      </c>
      <c r="H41" s="5">
        <v>2</v>
      </c>
      <c r="I41" s="3" t="s">
        <v>96</v>
      </c>
      <c r="J41" s="19" t="s">
        <v>241</v>
      </c>
      <c r="K41" s="4" t="s">
        <v>220</v>
      </c>
      <c r="L41" s="22" t="s">
        <v>355</v>
      </c>
      <c r="M41" t="s">
        <v>340</v>
      </c>
      <c r="O41" s="5" t="s">
        <v>245</v>
      </c>
      <c r="P41" s="5" t="s">
        <v>215</v>
      </c>
      <c r="Q41" s="5" t="s">
        <v>347</v>
      </c>
      <c r="R41" s="5"/>
    </row>
    <row r="42" spans="1:20">
      <c r="A42" s="18"/>
      <c r="B42" s="11" t="s">
        <v>356</v>
      </c>
      <c r="C42" s="7">
        <v>44.99</v>
      </c>
      <c r="D42" s="7">
        <v>8.99</v>
      </c>
      <c r="E42" s="5" t="s">
        <v>223</v>
      </c>
      <c r="F42" s="5" t="s">
        <v>96</v>
      </c>
      <c r="G42" s="5">
        <v>0</v>
      </c>
      <c r="H42" s="5">
        <v>1</v>
      </c>
      <c r="I42" s="3" t="s">
        <v>96</v>
      </c>
      <c r="J42" s="19" t="s">
        <v>241</v>
      </c>
      <c r="K42" s="4" t="s">
        <v>357</v>
      </c>
      <c r="L42" s="22" t="s">
        <v>358</v>
      </c>
      <c r="M42" t="s">
        <v>359</v>
      </c>
      <c r="O42" s="5" t="s">
        <v>214</v>
      </c>
      <c r="P42" s="5" t="s">
        <v>215</v>
      </c>
      <c r="Q42" s="5" t="s">
        <v>360</v>
      </c>
      <c r="R42" s="5" t="s">
        <v>360</v>
      </c>
    </row>
    <row r="43" spans="1:20" ht="21">
      <c r="A43" s="20" t="s">
        <v>361</v>
      </c>
      <c r="B43" s="4"/>
      <c r="C43" s="5"/>
      <c r="F43" s="5"/>
      <c r="H43" s="3"/>
      <c r="J43" s="44"/>
      <c r="L43" s="3"/>
    </row>
    <row r="44" spans="1:20">
      <c r="A44" s="18"/>
      <c r="B44" s="4" t="s">
        <v>362</v>
      </c>
      <c r="C44" s="7">
        <v>28</v>
      </c>
      <c r="E44" s="5" t="s">
        <v>363</v>
      </c>
      <c r="F44" s="5" t="s">
        <v>96</v>
      </c>
      <c r="G44" s="5" t="s">
        <v>96</v>
      </c>
      <c r="H44" s="5">
        <v>1</v>
      </c>
      <c r="I44" s="5" t="s">
        <v>96</v>
      </c>
      <c r="J44" s="19" t="s">
        <v>219</v>
      </c>
      <c r="K44" s="4" t="s">
        <v>364</v>
      </c>
      <c r="L44" s="22" t="s">
        <v>365</v>
      </c>
      <c r="M44" t="s">
        <v>138</v>
      </c>
      <c r="Q44" s="3" t="s">
        <v>366</v>
      </c>
    </row>
    <row r="45" spans="1:20">
      <c r="A45" s="18"/>
      <c r="B45" s="4" t="s">
        <v>367</v>
      </c>
      <c r="C45" s="7">
        <v>40</v>
      </c>
      <c r="E45" s="5" t="s">
        <v>368</v>
      </c>
      <c r="F45" s="5">
        <v>5</v>
      </c>
      <c r="G45" s="5">
        <v>2</v>
      </c>
      <c r="H45" s="5">
        <v>1</v>
      </c>
      <c r="I45" s="5" t="s">
        <v>96</v>
      </c>
      <c r="J45" s="19" t="s">
        <v>219</v>
      </c>
      <c r="K45" s="4" t="s">
        <v>364</v>
      </c>
      <c r="L45" s="22" t="s">
        <v>369</v>
      </c>
      <c r="M45" t="s">
        <v>138</v>
      </c>
      <c r="Q45" s="3" t="s">
        <v>370</v>
      </c>
    </row>
    <row r="46" spans="1:20" ht="21">
      <c r="A46" s="20" t="s">
        <v>371</v>
      </c>
      <c r="B46" s="4"/>
      <c r="C46" s="5"/>
      <c r="E46" s="5"/>
      <c r="F46" s="5"/>
      <c r="G46" s="5"/>
      <c r="H46" s="5"/>
      <c r="I46" s="5"/>
      <c r="J46" s="5"/>
      <c r="K46" s="5"/>
      <c r="L46" s="13"/>
    </row>
    <row r="47" spans="1:20">
      <c r="A47" s="18"/>
      <c r="B47" s="4" t="s">
        <v>372</v>
      </c>
      <c r="C47" s="7">
        <v>24.99</v>
      </c>
      <c r="E47" s="10" t="s">
        <v>344</v>
      </c>
      <c r="F47" s="5" t="s">
        <v>96</v>
      </c>
      <c r="G47" s="5" t="s">
        <v>96</v>
      </c>
      <c r="H47" s="5">
        <v>1</v>
      </c>
      <c r="I47" s="5" t="s">
        <v>96</v>
      </c>
      <c r="J47" s="5" t="s">
        <v>210</v>
      </c>
      <c r="K47" s="4" t="s">
        <v>220</v>
      </c>
      <c r="L47" s="22" t="s">
        <v>373</v>
      </c>
      <c r="M47" t="s">
        <v>374</v>
      </c>
      <c r="O47" s="3" t="s">
        <v>214</v>
      </c>
    </row>
    <row r="48" spans="1:20">
      <c r="A48" s="18"/>
      <c r="B48" s="4" t="s">
        <v>375</v>
      </c>
      <c r="C48" s="7">
        <v>24.99</v>
      </c>
      <c r="E48" s="10" t="s">
        <v>344</v>
      </c>
      <c r="F48" s="5" t="s">
        <v>96</v>
      </c>
      <c r="G48" s="5" t="s">
        <v>96</v>
      </c>
      <c r="H48" s="5">
        <v>1</v>
      </c>
      <c r="I48" s="5" t="s">
        <v>96</v>
      </c>
      <c r="J48" s="5" t="s">
        <v>210</v>
      </c>
      <c r="K48" s="4" t="s">
        <v>220</v>
      </c>
      <c r="L48" s="22" t="s">
        <v>376</v>
      </c>
      <c r="M48" t="s">
        <v>374</v>
      </c>
      <c r="O48" s="3" t="s">
        <v>214</v>
      </c>
    </row>
    <row r="49" spans="1:15">
      <c r="A49" s="18"/>
      <c r="B49" s="4" t="s">
        <v>377</v>
      </c>
      <c r="C49" s="7">
        <v>24.99</v>
      </c>
      <c r="E49" s="10" t="s">
        <v>344</v>
      </c>
      <c r="F49" s="5" t="s">
        <v>96</v>
      </c>
      <c r="G49" s="5" t="s">
        <v>96</v>
      </c>
      <c r="H49" s="5">
        <v>1</v>
      </c>
      <c r="I49" s="5" t="s">
        <v>96</v>
      </c>
      <c r="J49" s="5" t="s">
        <v>210</v>
      </c>
      <c r="K49" s="4" t="s">
        <v>220</v>
      </c>
      <c r="L49" s="22" t="s">
        <v>378</v>
      </c>
      <c r="M49" t="s">
        <v>374</v>
      </c>
      <c r="O49" s="3" t="s">
        <v>214</v>
      </c>
    </row>
    <row r="50" spans="1:15">
      <c r="A50" s="18"/>
      <c r="B50" s="4"/>
      <c r="C50" s="5"/>
      <c r="E50" s="5"/>
      <c r="F50" s="5"/>
      <c r="G50" s="5"/>
      <c r="H50" s="5"/>
      <c r="I50" s="5"/>
      <c r="J50" s="5"/>
      <c r="K50" s="5"/>
      <c r="L50" s="13"/>
    </row>
    <row r="51" spans="1:15">
      <c r="A51" s="18"/>
      <c r="B51" s="4"/>
      <c r="C51" s="5"/>
      <c r="E51" s="5"/>
      <c r="F51" s="5"/>
      <c r="G51" s="5"/>
      <c r="H51" s="5"/>
      <c r="I51" s="5"/>
      <c r="J51" s="5"/>
      <c r="K51" s="5"/>
      <c r="L51" s="13"/>
    </row>
    <row r="52" spans="1:15">
      <c r="A52" s="18"/>
      <c r="B52" s="4"/>
      <c r="C52" s="5"/>
      <c r="E52" s="5"/>
      <c r="F52" s="5"/>
      <c r="G52" s="5"/>
      <c r="H52" s="5"/>
      <c r="I52" s="5"/>
      <c r="J52" s="5"/>
      <c r="K52" s="5"/>
      <c r="L52" s="13"/>
    </row>
    <row r="53" spans="1:15">
      <c r="A53" s="18"/>
      <c r="B53" s="4"/>
      <c r="C53" s="5"/>
      <c r="E53" s="5"/>
      <c r="F53" s="5"/>
      <c r="G53" s="5"/>
      <c r="H53" s="5"/>
      <c r="I53" s="5"/>
      <c r="J53" s="5"/>
      <c r="K53" s="5"/>
      <c r="L53" s="13"/>
    </row>
    <row r="54" spans="1:15">
      <c r="A54" s="18"/>
      <c r="B54" s="4"/>
      <c r="C54" s="5"/>
      <c r="E54" s="5"/>
      <c r="F54" s="5"/>
      <c r="G54" s="5"/>
      <c r="H54" s="5"/>
      <c r="I54" s="5"/>
      <c r="J54" s="5"/>
      <c r="K54" s="5"/>
      <c r="L54" s="13"/>
    </row>
    <row r="55" spans="1:15">
      <c r="A55" s="18"/>
      <c r="B55" s="4"/>
      <c r="C55" s="5"/>
      <c r="E55" s="5"/>
      <c r="F55" s="5"/>
      <c r="G55" s="5"/>
      <c r="H55" s="5"/>
      <c r="I55" s="5"/>
      <c r="J55" s="5"/>
      <c r="K55" s="5"/>
      <c r="L55" s="13"/>
    </row>
    <row r="56" spans="1:15">
      <c r="A56" s="18"/>
      <c r="B56" s="4"/>
      <c r="C56" s="5"/>
      <c r="E56" s="5"/>
      <c r="F56" s="5"/>
      <c r="G56" s="5"/>
      <c r="H56" s="5"/>
      <c r="I56" s="5"/>
      <c r="J56" s="5"/>
      <c r="K56" s="5"/>
      <c r="L56" s="13"/>
    </row>
    <row r="57" spans="1:15">
      <c r="A57" s="18"/>
      <c r="B57" s="4"/>
      <c r="C57" s="5"/>
      <c r="E57" s="5"/>
      <c r="F57" s="5"/>
      <c r="G57" s="5"/>
      <c r="H57" s="5"/>
      <c r="I57" s="5"/>
      <c r="J57" s="5"/>
      <c r="K57" s="5"/>
      <c r="L57" s="13"/>
    </row>
    <row r="58" spans="1:15">
      <c r="A58" s="18"/>
      <c r="B58" s="4"/>
      <c r="C58" s="5"/>
      <c r="E58" s="5"/>
      <c r="F58" s="5"/>
      <c r="G58" s="5"/>
      <c r="H58" s="5"/>
      <c r="I58" s="5"/>
      <c r="J58" s="5"/>
      <c r="K58" s="5"/>
      <c r="L58" s="13"/>
    </row>
    <row r="59" spans="1:15">
      <c r="A59" s="18"/>
      <c r="B59" s="4"/>
      <c r="C59" s="5"/>
      <c r="E59" s="5"/>
      <c r="F59" s="5"/>
      <c r="G59" s="5"/>
      <c r="H59" s="5"/>
      <c r="I59" s="5"/>
      <c r="J59" s="5"/>
      <c r="K59" s="5"/>
      <c r="L59" s="13"/>
    </row>
    <row r="60" spans="1:15">
      <c r="A60" s="18"/>
      <c r="B60" s="4"/>
      <c r="C60" s="5"/>
      <c r="E60" s="5"/>
      <c r="F60" s="5"/>
      <c r="G60" s="5"/>
      <c r="H60" s="5"/>
      <c r="I60" s="5"/>
      <c r="J60" s="5"/>
      <c r="K60" s="5"/>
      <c r="L60" s="13"/>
    </row>
    <row r="61" spans="1:15">
      <c r="A61" s="18"/>
      <c r="B61" s="4"/>
      <c r="C61" s="5"/>
      <c r="E61" s="5"/>
      <c r="F61" s="5"/>
      <c r="G61" s="5"/>
      <c r="H61" s="5"/>
      <c r="I61" s="5"/>
      <c r="J61" s="5"/>
      <c r="K61" s="5"/>
      <c r="L61" s="13"/>
    </row>
    <row r="62" spans="1:15">
      <c r="A62" s="18"/>
      <c r="B62" s="4"/>
      <c r="C62" s="5"/>
      <c r="E62" s="5"/>
      <c r="F62" s="5"/>
      <c r="G62" s="5"/>
      <c r="H62" s="5"/>
      <c r="I62" s="5"/>
      <c r="J62" s="5"/>
      <c r="K62" s="5"/>
      <c r="L62" s="13"/>
    </row>
    <row r="63" spans="1:15">
      <c r="A63" s="18"/>
      <c r="B63" s="4"/>
      <c r="C63" s="5"/>
      <c r="E63" s="5"/>
      <c r="F63" s="5"/>
      <c r="G63" s="5"/>
      <c r="H63" s="5"/>
      <c r="I63" s="5"/>
      <c r="J63" s="5"/>
      <c r="K63" s="5"/>
      <c r="L63" s="13"/>
    </row>
    <row r="64" spans="1:15">
      <c r="A64" s="18"/>
      <c r="B64" s="4"/>
      <c r="C64" s="5"/>
      <c r="E64" s="5"/>
      <c r="F64" s="5"/>
      <c r="G64" s="5"/>
      <c r="H64" s="5"/>
      <c r="I64" s="5"/>
      <c r="J64" s="5"/>
      <c r="K64" s="5"/>
      <c r="L64" s="13"/>
    </row>
    <row r="65" spans="1:12">
      <c r="A65" s="18"/>
      <c r="B65" s="4"/>
      <c r="C65" s="5"/>
      <c r="E65" s="5"/>
      <c r="F65" s="5"/>
      <c r="G65" s="5"/>
      <c r="H65" s="5"/>
      <c r="I65" s="5"/>
      <c r="J65" s="5"/>
      <c r="K65" s="5"/>
      <c r="L65" s="13"/>
    </row>
    <row r="66" spans="1:12">
      <c r="A66" s="18"/>
      <c r="B66" s="4"/>
      <c r="C66" s="5"/>
      <c r="E66" s="5"/>
      <c r="F66" s="5"/>
      <c r="G66" s="5"/>
      <c r="H66" s="5"/>
      <c r="I66" s="5"/>
      <c r="J66" s="5"/>
      <c r="K66" s="5"/>
      <c r="L66" s="13"/>
    </row>
    <row r="67" spans="1:12">
      <c r="A67" s="18"/>
      <c r="B67" s="4"/>
      <c r="C67" s="5"/>
      <c r="E67" s="5"/>
      <c r="F67" s="5"/>
      <c r="G67" s="5"/>
      <c r="H67" s="5"/>
      <c r="I67" s="5"/>
      <c r="J67" s="5"/>
      <c r="K67" s="5"/>
      <c r="L67" s="13"/>
    </row>
    <row r="68" spans="1:12">
      <c r="A68" s="18"/>
      <c r="B68" s="4"/>
      <c r="C68" s="5"/>
      <c r="E68" s="5"/>
      <c r="F68" s="5"/>
      <c r="G68" s="5"/>
      <c r="H68" s="5"/>
      <c r="I68" s="5"/>
      <c r="J68" s="5"/>
      <c r="K68" s="5"/>
      <c r="L68" s="13"/>
    </row>
    <row r="69" spans="1:12">
      <c r="A69" s="18"/>
      <c r="B69" s="4"/>
      <c r="C69" s="5"/>
      <c r="E69" s="5"/>
      <c r="F69" s="5"/>
      <c r="G69" s="5"/>
      <c r="H69" s="5"/>
      <c r="I69" s="5"/>
      <c r="J69" s="5"/>
      <c r="K69" s="5"/>
      <c r="L69" s="13"/>
    </row>
    <row r="70" spans="1:12">
      <c r="A70" s="18"/>
      <c r="B70" s="4"/>
      <c r="C70" s="5"/>
      <c r="E70" s="5"/>
      <c r="F70" s="5"/>
      <c r="G70" s="5"/>
      <c r="H70" s="5"/>
      <c r="I70" s="5"/>
      <c r="J70" s="5"/>
      <c r="K70" s="5"/>
      <c r="L70" s="13"/>
    </row>
    <row r="71" spans="1:12">
      <c r="A71" s="18"/>
      <c r="B71" s="4"/>
      <c r="C71" s="5"/>
      <c r="E71" s="5"/>
      <c r="F71" s="5"/>
      <c r="G71" s="5"/>
      <c r="H71" s="5"/>
      <c r="I71" s="5"/>
      <c r="J71" s="5"/>
      <c r="K71" s="5"/>
      <c r="L71" s="13"/>
    </row>
    <row r="72" spans="1:12">
      <c r="A72" s="18"/>
      <c r="B72" s="4"/>
      <c r="C72" s="5"/>
      <c r="E72" s="5"/>
      <c r="F72" s="5"/>
      <c r="G72" s="5"/>
      <c r="H72" s="5"/>
      <c r="I72" s="5"/>
      <c r="J72" s="5"/>
      <c r="K72" s="5"/>
      <c r="L72" s="13"/>
    </row>
    <row r="73" spans="1:12">
      <c r="B73" s="4"/>
      <c r="C73" s="5"/>
      <c r="E73" s="5"/>
      <c r="F73" s="5"/>
      <c r="G73" s="5"/>
      <c r="H73" s="5"/>
      <c r="I73" s="5"/>
      <c r="J73" s="5"/>
      <c r="K73" s="5"/>
      <c r="L73" s="13"/>
    </row>
    <row r="74" spans="1:12">
      <c r="B74" s="4"/>
      <c r="C74" s="5"/>
      <c r="E74" s="5"/>
      <c r="F74" s="5"/>
      <c r="G74" s="5"/>
      <c r="H74" s="5"/>
      <c r="I74" s="5"/>
      <c r="J74" s="5"/>
      <c r="K74" s="5"/>
      <c r="L74" s="13"/>
    </row>
  </sheetData>
  <hyperlinks>
    <hyperlink ref="L3" r:id="rId1" xr:uid="{A09328F1-C823-4D74-A595-2CBFD5E5F3C9}"/>
    <hyperlink ref="L4" r:id="rId2" xr:uid="{96D91341-22D2-4105-8EE7-28C11A999107}"/>
    <hyperlink ref="L5" r:id="rId3" xr:uid="{796AAEED-F7DD-4534-9BC4-3336189091E6}"/>
    <hyperlink ref="L6" r:id="rId4" xr:uid="{EBD62370-E454-4150-AE14-56070C15A6BF}"/>
    <hyperlink ref="L7" r:id="rId5" xr:uid="{7A945D53-B9E8-47B9-90C7-7329916DFFB1}"/>
    <hyperlink ref="L8" r:id="rId6" xr:uid="{24FA85AD-B14F-405F-808C-7A796AA89DB4}"/>
    <hyperlink ref="L10" r:id="rId7" xr:uid="{D3316A75-CA53-4BB1-BC9D-094B5ECD1F1D}"/>
    <hyperlink ref="L12" r:id="rId8" display="https://www.bareperformancenutrition.com/products/bpn-tee" xr:uid="{223A72BB-EC79-4B23-88F3-F68F3F00C8C4}"/>
    <hyperlink ref="L16" r:id="rId9" xr:uid="{E8074D3B-9CF1-4ABD-BEE8-DFACCC6CF03D}"/>
    <hyperlink ref="L17" r:id="rId10" xr:uid="{EDA1C6F5-1562-4BD4-9881-1F716782DE27}"/>
    <hyperlink ref="L11" r:id="rId11" xr:uid="{10AE9C67-08EE-4635-8A6D-DDC084A6AFCB}"/>
    <hyperlink ref="L18" r:id="rId12" xr:uid="{A532B240-1605-4528-81A0-BE637546EE45}"/>
    <hyperlink ref="L13" r:id="rId13" xr:uid="{DFC56D65-C949-43B6-B016-8F27C869971F}"/>
    <hyperlink ref="L14" r:id="rId14" xr:uid="{5A8D8F61-D58E-4E95-9FDE-DAE1645B5A5E}"/>
    <hyperlink ref="L15" r:id="rId15" xr:uid="{EDC33B69-255C-45A4-B59E-EF0436838F68}"/>
    <hyperlink ref="L19" r:id="rId16" xr:uid="{23C01A13-37AE-45DF-88DB-76CD4F85C17A}"/>
    <hyperlink ref="L20" r:id="rId17" xr:uid="{4BFC37CA-FACE-4A05-9ED1-69F915B64C56}"/>
    <hyperlink ref="L21" r:id="rId18" xr:uid="{26F2B1EF-24CA-4B71-B401-255F2430F2B2}"/>
    <hyperlink ref="L23" r:id="rId19" xr:uid="{866C9B3D-7AE2-418B-9AD9-8A2CF050ADC2}"/>
    <hyperlink ref="L24" r:id="rId20" xr:uid="{0675FB2E-A136-4985-834C-9812D4CF5D94}"/>
    <hyperlink ref="L25" r:id="rId21" xr:uid="{0B7867BF-59EB-42F6-90EE-DE5F355636FB}"/>
    <hyperlink ref="L26" r:id="rId22" xr:uid="{1FFE6D8D-348E-4E7A-AB99-6006F00B2447}"/>
    <hyperlink ref="L28" r:id="rId23" xr:uid="{00A69B83-3E45-4559-8F55-1BDACF8E31C6}"/>
    <hyperlink ref="L29" r:id="rId24" xr:uid="{674E0562-A2C9-4DE6-BB86-F40CC5E54698}"/>
    <hyperlink ref="L30" r:id="rId25" xr:uid="{D96DAE25-8D4F-43D2-B5BB-1F4DBD450F67}"/>
    <hyperlink ref="L31" r:id="rId26" xr:uid="{7A5EB25A-6F01-41AF-BAAF-FE433E8E88CA}"/>
    <hyperlink ref="L32" r:id="rId27" xr:uid="{C3B7BA11-94EA-4D4D-B920-B82D49EFC565}"/>
    <hyperlink ref="L34" r:id="rId28" xr:uid="{C335AA50-6F79-42CE-BA97-D9356D57FC66}"/>
    <hyperlink ref="L36" r:id="rId29" xr:uid="{F421CC50-EB37-4EF5-86CD-F0E042945D1C}"/>
    <hyperlink ref="L37" r:id="rId30" xr:uid="{B1533FE6-0B36-4FE2-8D12-D46BC9C39779}"/>
    <hyperlink ref="L38" r:id="rId31" xr:uid="{48E2E152-AED7-4168-B29B-BB28BFBD6A27}"/>
    <hyperlink ref="L39" r:id="rId32" xr:uid="{3E5F810F-CAFE-4FE5-9D26-ECD77C925C86}"/>
    <hyperlink ref="L40" r:id="rId33" xr:uid="{435DA278-FDF2-4D91-83BD-F915D1FAD688}"/>
    <hyperlink ref="L41" r:id="rId34" xr:uid="{5CDAA3BF-13B1-4845-B317-6AC92778FD32}"/>
    <hyperlink ref="L42" r:id="rId35" xr:uid="{B37FEDB2-6503-4327-B1F7-CB4F18D3F28D}"/>
    <hyperlink ref="L44" r:id="rId36" xr:uid="{FCFE65EF-B8F7-431A-AAAB-7B39710DC939}"/>
    <hyperlink ref="L45" r:id="rId37" xr:uid="{ABC09FEC-86B8-49B0-96AA-FA752433F91B}"/>
    <hyperlink ref="L47" r:id="rId38" xr:uid="{61907AB6-3795-4C69-8E39-DF61550435A0}"/>
    <hyperlink ref="L48" r:id="rId39" xr:uid="{747E0943-ADDF-4982-A37D-A52D374C4ABC}"/>
    <hyperlink ref="L49" r:id="rId40" xr:uid="{E4246A00-DF9C-4B1E-B9E4-C999EF93975D}"/>
  </hyperlinks>
  <pageMargins left="0.7" right="0.7" top="0.75" bottom="0.75" header="0.3" footer="0.3"/>
  <pageSetup orientation="portrait" r:id="rId41"/>
  <tableParts count="2">
    <tablePart r:id="rId42"/>
    <tablePart r:id="rId4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9B72E-6FC7-4008-B6A4-E0FE36AC6D6B}">
  <dimension ref="A1:O62"/>
  <sheetViews>
    <sheetView zoomScale="85" zoomScaleNormal="85" workbookViewId="0">
      <selection activeCell="F9" sqref="F9"/>
    </sheetView>
  </sheetViews>
  <sheetFormatPr defaultRowHeight="15"/>
  <cols>
    <col min="1" max="1" width="20.7109375" customWidth="1"/>
    <col min="2" max="2" width="25.7109375" customWidth="1"/>
    <col min="3" max="3" width="10.7109375" customWidth="1"/>
    <col min="4" max="4" width="11" customWidth="1"/>
    <col min="5" max="5" width="10.7109375" customWidth="1"/>
    <col min="6" max="7" width="20.7109375" customWidth="1"/>
    <col min="8" max="8" width="8.7109375" customWidth="1"/>
    <col min="9" max="9" width="20.7109375" customWidth="1"/>
    <col min="10" max="10" width="10.7109375" customWidth="1"/>
    <col min="11" max="11" width="25.7109375" customWidth="1"/>
    <col min="12" max="12" width="30.7109375" customWidth="1"/>
    <col min="13" max="13" width="10.7109375" customWidth="1"/>
    <col min="14" max="14" width="15.7109375" customWidth="1"/>
    <col min="15" max="15" width="10.7109375" customWidth="1"/>
  </cols>
  <sheetData>
    <row r="1" spans="1:15" ht="24.95" customHeight="1" thickBot="1">
      <c r="A1" s="42" t="s">
        <v>188</v>
      </c>
      <c r="B1" s="43" t="s">
        <v>189</v>
      </c>
      <c r="C1" s="43" t="s">
        <v>2</v>
      </c>
      <c r="D1" s="43" t="s">
        <v>379</v>
      </c>
      <c r="E1" s="43" t="s">
        <v>380</v>
      </c>
      <c r="F1" s="43" t="s">
        <v>381</v>
      </c>
      <c r="G1" s="43" t="s">
        <v>66</v>
      </c>
      <c r="H1" s="43" t="s">
        <v>382</v>
      </c>
      <c r="I1" s="43" t="s">
        <v>383</v>
      </c>
      <c r="J1" s="43" t="s">
        <v>193</v>
      </c>
      <c r="K1" s="43" t="s">
        <v>69</v>
      </c>
      <c r="L1" s="43" t="s">
        <v>7</v>
      </c>
      <c r="M1" s="43" t="s">
        <v>384</v>
      </c>
      <c r="N1" s="43" t="s">
        <v>201</v>
      </c>
      <c r="O1" s="43" t="s">
        <v>203</v>
      </c>
    </row>
    <row r="2" spans="1:15" ht="18.75">
      <c r="A2" s="30" t="s">
        <v>204</v>
      </c>
      <c r="B2" s="46" t="s">
        <v>173</v>
      </c>
      <c r="C2" s="38"/>
      <c r="D2" s="38"/>
      <c r="E2" s="38"/>
      <c r="F2" s="38"/>
      <c r="G2" s="31"/>
      <c r="H2" s="38"/>
      <c r="I2" s="38"/>
      <c r="J2" s="38"/>
      <c r="K2" s="2" t="s">
        <v>385</v>
      </c>
      <c r="L2" s="10" t="s">
        <v>138</v>
      </c>
      <c r="M2" s="38"/>
      <c r="N2" s="31"/>
      <c r="O2" s="31"/>
    </row>
    <row r="3" spans="1:15">
      <c r="A3" s="21" t="s">
        <v>386</v>
      </c>
      <c r="B3" s="19" t="s">
        <v>387</v>
      </c>
      <c r="C3" s="7">
        <v>24.99</v>
      </c>
      <c r="E3" s="32" t="s">
        <v>388</v>
      </c>
      <c r="F3" s="32" t="s">
        <v>389</v>
      </c>
      <c r="G3" s="5" t="s">
        <v>390</v>
      </c>
      <c r="J3" s="5">
        <v>7</v>
      </c>
      <c r="K3" s="39" t="s">
        <v>391</v>
      </c>
      <c r="L3" s="10" t="s">
        <v>138</v>
      </c>
      <c r="M3" s="5" t="s">
        <v>214</v>
      </c>
      <c r="N3" s="5" t="s">
        <v>392</v>
      </c>
      <c r="O3" s="19" t="s">
        <v>393</v>
      </c>
    </row>
    <row r="4" spans="1:15">
      <c r="A4" s="1"/>
      <c r="B4" s="36" t="s">
        <v>394</v>
      </c>
      <c r="C4" s="34">
        <v>29.99</v>
      </c>
      <c r="D4" s="38"/>
      <c r="E4" s="32" t="s">
        <v>388</v>
      </c>
      <c r="F4" s="32" t="s">
        <v>389</v>
      </c>
      <c r="G4" s="5" t="s">
        <v>390</v>
      </c>
      <c r="H4" s="38"/>
      <c r="I4" s="38"/>
      <c r="J4" s="31">
        <v>4</v>
      </c>
      <c r="K4" s="40" t="s">
        <v>395</v>
      </c>
      <c r="L4" s="10" t="s">
        <v>138</v>
      </c>
      <c r="M4" s="31" t="s">
        <v>396</v>
      </c>
      <c r="N4" s="31" t="s">
        <v>392</v>
      </c>
      <c r="O4" s="41" t="s">
        <v>393</v>
      </c>
    </row>
    <row r="5" spans="1:15">
      <c r="A5" s="1"/>
      <c r="B5" s="19" t="s">
        <v>397</v>
      </c>
      <c r="C5" s="7">
        <v>29.99</v>
      </c>
      <c r="E5" s="32" t="s">
        <v>398</v>
      </c>
      <c r="F5" s="32" t="s">
        <v>389</v>
      </c>
      <c r="G5" s="5" t="s">
        <v>390</v>
      </c>
      <c r="J5" s="5">
        <v>1</v>
      </c>
      <c r="K5" s="39" t="s">
        <v>399</v>
      </c>
      <c r="L5" s="10" t="s">
        <v>138</v>
      </c>
      <c r="M5" s="5" t="s">
        <v>245</v>
      </c>
      <c r="N5" s="5" t="s">
        <v>400</v>
      </c>
      <c r="O5" s="19" t="s">
        <v>401</v>
      </c>
    </row>
    <row r="6" spans="1:15">
      <c r="A6" s="1"/>
      <c r="B6" s="41" t="s">
        <v>402</v>
      </c>
      <c r="C6" s="34">
        <v>32.99</v>
      </c>
      <c r="D6" s="38"/>
      <c r="E6" s="31" t="s">
        <v>403</v>
      </c>
      <c r="F6" s="32" t="s">
        <v>389</v>
      </c>
      <c r="G6" s="31" t="s">
        <v>404</v>
      </c>
      <c r="H6" s="38"/>
      <c r="I6" s="38"/>
      <c r="J6" s="31">
        <v>7</v>
      </c>
      <c r="K6" s="40" t="s">
        <v>405</v>
      </c>
      <c r="L6" s="10" t="s">
        <v>138</v>
      </c>
      <c r="M6" s="31" t="s">
        <v>245</v>
      </c>
      <c r="N6" s="38"/>
      <c r="O6" s="41"/>
    </row>
    <row r="7" spans="1:15">
      <c r="A7" s="1"/>
      <c r="B7" s="5" t="s">
        <v>406</v>
      </c>
      <c r="C7" s="7">
        <v>34.99</v>
      </c>
      <c r="D7" s="5"/>
      <c r="E7" s="32" t="s">
        <v>407</v>
      </c>
      <c r="F7" s="32" t="s">
        <v>389</v>
      </c>
      <c r="G7" s="5" t="s">
        <v>390</v>
      </c>
      <c r="H7" s="5"/>
      <c r="I7" s="5"/>
      <c r="J7" s="5">
        <v>3</v>
      </c>
      <c r="K7" s="9" t="s">
        <v>408</v>
      </c>
      <c r="L7" s="10" t="s">
        <v>138</v>
      </c>
      <c r="M7" s="5" t="s">
        <v>214</v>
      </c>
      <c r="N7" s="5"/>
      <c r="O7" s="19"/>
    </row>
    <row r="8" spans="1:15">
      <c r="A8" s="1"/>
      <c r="B8" s="5" t="s">
        <v>409</v>
      </c>
      <c r="C8" s="7">
        <v>34.99</v>
      </c>
      <c r="D8" s="5"/>
      <c r="E8" s="32" t="s">
        <v>407</v>
      </c>
      <c r="F8" s="32" t="s">
        <v>389</v>
      </c>
      <c r="G8" s="5" t="s">
        <v>390</v>
      </c>
      <c r="H8" s="5"/>
      <c r="I8" s="5"/>
      <c r="J8" s="5">
        <v>1</v>
      </c>
      <c r="K8" s="9" t="s">
        <v>410</v>
      </c>
      <c r="L8" s="10" t="s">
        <v>138</v>
      </c>
      <c r="M8" s="5" t="s">
        <v>214</v>
      </c>
      <c r="O8" s="19"/>
    </row>
    <row r="9" spans="1:15">
      <c r="A9" s="1"/>
      <c r="B9" s="5" t="s">
        <v>411</v>
      </c>
      <c r="C9" s="7">
        <v>34.99</v>
      </c>
      <c r="D9" s="5"/>
      <c r="E9" s="32" t="s">
        <v>407</v>
      </c>
      <c r="F9" s="32" t="s">
        <v>389</v>
      </c>
      <c r="G9" s="5" t="s">
        <v>390</v>
      </c>
      <c r="H9" s="5"/>
      <c r="I9" s="5"/>
      <c r="J9" s="5">
        <v>1</v>
      </c>
      <c r="K9" s="9" t="s">
        <v>412</v>
      </c>
      <c r="L9" s="10" t="s">
        <v>138</v>
      </c>
      <c r="M9" s="5" t="s">
        <v>214</v>
      </c>
      <c r="O9" s="19"/>
    </row>
    <row r="10" spans="1:15">
      <c r="A10" s="1"/>
      <c r="B10" s="5" t="s">
        <v>413</v>
      </c>
      <c r="C10" s="7">
        <v>34.99</v>
      </c>
      <c r="D10" s="5"/>
      <c r="E10" s="5" t="s">
        <v>414</v>
      </c>
      <c r="F10" s="32" t="s">
        <v>389</v>
      </c>
      <c r="G10" s="5" t="s">
        <v>390</v>
      </c>
      <c r="H10" s="5"/>
      <c r="I10" s="5"/>
      <c r="J10" s="5">
        <v>6</v>
      </c>
      <c r="K10" s="9" t="s">
        <v>415</v>
      </c>
      <c r="L10" s="10" t="s">
        <v>138</v>
      </c>
      <c r="M10" s="5" t="s">
        <v>214</v>
      </c>
      <c r="O10" s="19"/>
    </row>
    <row r="11" spans="1:15">
      <c r="A11" s="1"/>
      <c r="B11" s="32" t="s">
        <v>416</v>
      </c>
      <c r="C11" s="7">
        <v>34.99</v>
      </c>
      <c r="D11" s="5"/>
      <c r="E11" s="5" t="s">
        <v>414</v>
      </c>
      <c r="F11" s="32" t="s">
        <v>389</v>
      </c>
      <c r="G11" s="19" t="s">
        <v>390</v>
      </c>
      <c r="H11" s="5"/>
      <c r="I11" s="5"/>
      <c r="J11" s="5">
        <v>3</v>
      </c>
      <c r="K11" s="9" t="s">
        <v>417</v>
      </c>
      <c r="L11" s="10" t="s">
        <v>138</v>
      </c>
      <c r="M11" s="5" t="s">
        <v>214</v>
      </c>
      <c r="O11" s="19"/>
    </row>
    <row r="12" spans="1:15">
      <c r="A12" s="1"/>
      <c r="B12" s="5" t="s">
        <v>418</v>
      </c>
      <c r="C12" s="7">
        <v>34.99</v>
      </c>
      <c r="D12" s="5"/>
      <c r="E12" s="4" t="s">
        <v>419</v>
      </c>
      <c r="F12" s="32" t="s">
        <v>389</v>
      </c>
      <c r="G12" s="4" t="s">
        <v>420</v>
      </c>
      <c r="H12" s="5"/>
      <c r="I12" s="5"/>
      <c r="J12" s="5">
        <v>1</v>
      </c>
      <c r="K12" s="9" t="s">
        <v>421</v>
      </c>
      <c r="L12" s="10" t="s">
        <v>138</v>
      </c>
      <c r="M12" s="5" t="s">
        <v>214</v>
      </c>
      <c r="O12" s="19"/>
    </row>
    <row r="13" spans="1:15">
      <c r="A13" s="1"/>
      <c r="B13" s="19" t="s">
        <v>422</v>
      </c>
      <c r="C13" s="7">
        <v>39.99</v>
      </c>
      <c r="D13" s="5"/>
      <c r="E13" s="5" t="s">
        <v>414</v>
      </c>
      <c r="F13" s="32" t="s">
        <v>389</v>
      </c>
      <c r="G13" s="5" t="s">
        <v>390</v>
      </c>
      <c r="H13" s="5"/>
      <c r="I13" s="5"/>
      <c r="J13" s="5">
        <v>1</v>
      </c>
      <c r="K13" s="9" t="s">
        <v>423</v>
      </c>
      <c r="L13" s="10" t="s">
        <v>138</v>
      </c>
      <c r="M13" s="5" t="s">
        <v>214</v>
      </c>
      <c r="O13" s="19"/>
    </row>
    <row r="14" spans="1:15">
      <c r="A14" s="1"/>
      <c r="B14" s="19" t="s">
        <v>424</v>
      </c>
      <c r="C14" s="7">
        <v>39.99</v>
      </c>
      <c r="D14" s="5"/>
      <c r="E14" s="5" t="s">
        <v>414</v>
      </c>
      <c r="F14" s="32" t="s">
        <v>389</v>
      </c>
      <c r="G14" s="5" t="s">
        <v>390</v>
      </c>
      <c r="H14" s="5"/>
      <c r="I14" s="5"/>
      <c r="J14" s="5">
        <v>3</v>
      </c>
      <c r="K14" s="9" t="s">
        <v>425</v>
      </c>
      <c r="L14" s="10" t="s">
        <v>138</v>
      </c>
      <c r="M14" s="5" t="s">
        <v>214</v>
      </c>
      <c r="O14" s="19"/>
    </row>
    <row r="15" spans="1:15" ht="18.75">
      <c r="A15" s="30" t="s">
        <v>246</v>
      </c>
      <c r="B15" s="5"/>
      <c r="C15" s="5"/>
      <c r="D15" s="5"/>
      <c r="E15" s="5"/>
      <c r="F15" s="32"/>
      <c r="G15" s="5"/>
      <c r="H15" s="5"/>
      <c r="I15" s="5"/>
      <c r="J15" s="5"/>
      <c r="K15" s="10"/>
      <c r="L15" s="10" t="s">
        <v>138</v>
      </c>
      <c r="M15" s="5"/>
      <c r="O15" s="19"/>
    </row>
    <row r="16" spans="1:15">
      <c r="A16" s="1"/>
      <c r="B16" s="5" t="s">
        <v>426</v>
      </c>
      <c r="C16" s="7">
        <v>29.99</v>
      </c>
      <c r="D16" s="7">
        <v>7.83</v>
      </c>
      <c r="E16" s="19" t="s">
        <v>388</v>
      </c>
      <c r="F16" s="32" t="s">
        <v>389</v>
      </c>
      <c r="G16" s="5" t="s">
        <v>390</v>
      </c>
      <c r="H16" s="5">
        <v>4.9000000000000004</v>
      </c>
      <c r="I16" s="5">
        <v>48</v>
      </c>
      <c r="J16" s="5">
        <v>1</v>
      </c>
      <c r="K16" s="9" t="s">
        <v>427</v>
      </c>
      <c r="L16" s="5" t="s">
        <v>428</v>
      </c>
      <c r="M16" s="5" t="s">
        <v>302</v>
      </c>
      <c r="O16" s="19"/>
    </row>
    <row r="17" spans="1:15">
      <c r="A17" s="1"/>
      <c r="B17" s="5" t="s">
        <v>429</v>
      </c>
      <c r="C17" s="7">
        <v>29.99</v>
      </c>
      <c r="D17" s="7">
        <v>7.83</v>
      </c>
      <c r="E17" s="19" t="s">
        <v>430</v>
      </c>
      <c r="F17" s="5" t="s">
        <v>431</v>
      </c>
      <c r="G17" s="5" t="s">
        <v>390</v>
      </c>
      <c r="H17" s="5">
        <v>4.7</v>
      </c>
      <c r="I17" s="5">
        <v>1018</v>
      </c>
      <c r="J17" s="5">
        <v>1</v>
      </c>
      <c r="K17" s="9" t="s">
        <v>432</v>
      </c>
      <c r="L17" s="4" t="s">
        <v>138</v>
      </c>
      <c r="M17" s="5" t="s">
        <v>245</v>
      </c>
      <c r="N17" s="5" t="s">
        <v>433</v>
      </c>
      <c r="O17" s="19"/>
    </row>
    <row r="18" spans="1:15">
      <c r="A18" s="1"/>
      <c r="B18" s="5" t="s">
        <v>434</v>
      </c>
      <c r="C18" s="7">
        <v>29.99</v>
      </c>
      <c r="D18" s="7">
        <v>7.83</v>
      </c>
      <c r="E18" s="19" t="s">
        <v>430</v>
      </c>
      <c r="F18" s="5" t="s">
        <v>431</v>
      </c>
      <c r="G18" s="5" t="s">
        <v>435</v>
      </c>
      <c r="H18" s="5">
        <v>4.7</v>
      </c>
      <c r="I18" s="5">
        <v>70</v>
      </c>
      <c r="J18" s="5">
        <v>1</v>
      </c>
      <c r="K18" s="9" t="s">
        <v>436</v>
      </c>
      <c r="L18" s="10" t="s">
        <v>437</v>
      </c>
      <c r="M18" s="5" t="s">
        <v>302</v>
      </c>
      <c r="N18" s="5" t="s">
        <v>433</v>
      </c>
      <c r="O18" s="19"/>
    </row>
    <row r="19" spans="1:15">
      <c r="A19" s="1"/>
      <c r="B19" s="5" t="s">
        <v>438</v>
      </c>
      <c r="C19" s="7">
        <v>29.99</v>
      </c>
      <c r="D19" s="7">
        <v>7.83</v>
      </c>
      <c r="E19" s="19" t="s">
        <v>388</v>
      </c>
      <c r="F19" s="32" t="s">
        <v>389</v>
      </c>
      <c r="G19" s="5" t="s">
        <v>390</v>
      </c>
      <c r="H19" s="5">
        <v>4.9000000000000004</v>
      </c>
      <c r="I19" s="5">
        <v>339</v>
      </c>
      <c r="J19" s="5">
        <v>1</v>
      </c>
      <c r="K19" s="9" t="s">
        <v>439</v>
      </c>
      <c r="L19" s="10" t="s">
        <v>138</v>
      </c>
      <c r="M19" s="5" t="s">
        <v>245</v>
      </c>
      <c r="O19" s="19"/>
    </row>
    <row r="20" spans="1:15">
      <c r="A20" s="1"/>
      <c r="B20" s="5" t="s">
        <v>429</v>
      </c>
      <c r="C20" s="7">
        <v>39.99</v>
      </c>
      <c r="D20" s="7">
        <v>7.83</v>
      </c>
      <c r="E20" s="19" t="s">
        <v>430</v>
      </c>
      <c r="F20" s="5" t="s">
        <v>440</v>
      </c>
      <c r="G20" s="5" t="s">
        <v>441</v>
      </c>
      <c r="H20" s="5">
        <v>4.5999999999999996</v>
      </c>
      <c r="I20" s="5">
        <v>143</v>
      </c>
      <c r="J20" s="5">
        <v>2</v>
      </c>
      <c r="K20" s="9" t="s">
        <v>432</v>
      </c>
      <c r="L20" s="4" t="s">
        <v>442</v>
      </c>
      <c r="M20" s="5" t="s">
        <v>245</v>
      </c>
      <c r="N20" s="5"/>
      <c r="O20" s="19"/>
    </row>
    <row r="21" spans="1:15">
      <c r="A21" s="1"/>
      <c r="B21" s="5" t="s">
        <v>443</v>
      </c>
      <c r="C21" s="7">
        <v>44.99</v>
      </c>
      <c r="D21" s="7">
        <v>7.83</v>
      </c>
      <c r="E21" s="19" t="s">
        <v>430</v>
      </c>
      <c r="F21" s="5" t="s">
        <v>440</v>
      </c>
      <c r="G21" s="4" t="s">
        <v>444</v>
      </c>
      <c r="H21" s="5">
        <v>5</v>
      </c>
      <c r="I21" s="5">
        <v>453</v>
      </c>
      <c r="J21" s="5">
        <v>3</v>
      </c>
      <c r="K21" s="9" t="s">
        <v>445</v>
      </c>
      <c r="L21" s="10" t="s">
        <v>138</v>
      </c>
      <c r="M21" s="5" t="s">
        <v>245</v>
      </c>
      <c r="O21" s="19"/>
    </row>
    <row r="22" spans="1:15" ht="18.75">
      <c r="A22" s="30" t="s">
        <v>446</v>
      </c>
      <c r="B22" s="5"/>
      <c r="C22" s="5"/>
      <c r="D22" s="5"/>
      <c r="E22" s="19"/>
      <c r="F22" s="5"/>
      <c r="G22" s="5"/>
      <c r="H22" s="5"/>
      <c r="I22" s="5"/>
      <c r="J22" s="5"/>
      <c r="K22" s="10"/>
      <c r="L22" s="10" t="s">
        <v>138</v>
      </c>
      <c r="M22" s="5"/>
      <c r="O22" s="19"/>
    </row>
    <row r="23" spans="1:15">
      <c r="A23" s="1"/>
      <c r="B23" s="5" t="s">
        <v>447</v>
      </c>
      <c r="C23" s="7">
        <v>29.99</v>
      </c>
      <c r="D23" s="5" t="s">
        <v>448</v>
      </c>
      <c r="E23" s="19" t="s">
        <v>403</v>
      </c>
      <c r="F23" s="5" t="s">
        <v>389</v>
      </c>
      <c r="G23" s="5"/>
      <c r="H23" s="5" t="s">
        <v>96</v>
      </c>
      <c r="I23" s="5" t="s">
        <v>96</v>
      </c>
      <c r="J23" s="5">
        <v>1</v>
      </c>
      <c r="K23" s="9" t="s">
        <v>449</v>
      </c>
      <c r="L23" s="10" t="s">
        <v>138</v>
      </c>
      <c r="M23" s="5" t="s">
        <v>214</v>
      </c>
      <c r="O23" s="19"/>
    </row>
    <row r="24" spans="1:15">
      <c r="A24" s="1"/>
      <c r="B24" s="5" t="s">
        <v>450</v>
      </c>
      <c r="C24" s="7">
        <v>29.99</v>
      </c>
      <c r="D24" s="5" t="s">
        <v>448</v>
      </c>
      <c r="E24" s="19" t="s">
        <v>403</v>
      </c>
      <c r="F24" s="5" t="s">
        <v>389</v>
      </c>
      <c r="G24" s="5"/>
      <c r="H24" s="5" t="s">
        <v>96</v>
      </c>
      <c r="I24" s="5" t="s">
        <v>96</v>
      </c>
      <c r="J24" s="5">
        <v>1</v>
      </c>
      <c r="K24" s="9" t="s">
        <v>451</v>
      </c>
      <c r="L24" s="10" t="s">
        <v>138</v>
      </c>
      <c r="M24" s="5" t="s">
        <v>214</v>
      </c>
      <c r="O24" s="19"/>
    </row>
    <row r="25" spans="1:15">
      <c r="A25" s="1"/>
      <c r="B25" s="5" t="s">
        <v>452</v>
      </c>
      <c r="C25" s="7">
        <v>34.99</v>
      </c>
      <c r="D25" s="5" t="s">
        <v>448</v>
      </c>
      <c r="E25" s="19" t="s">
        <v>453</v>
      </c>
      <c r="F25" s="5" t="s">
        <v>389</v>
      </c>
      <c r="G25" s="5" t="s">
        <v>454</v>
      </c>
      <c r="H25" s="5" t="s">
        <v>96</v>
      </c>
      <c r="I25" s="5" t="s">
        <v>96</v>
      </c>
      <c r="J25" s="5">
        <v>6</v>
      </c>
      <c r="K25" s="9" t="s">
        <v>455</v>
      </c>
      <c r="L25" s="10" t="s">
        <v>138</v>
      </c>
      <c r="M25" s="5" t="s">
        <v>245</v>
      </c>
      <c r="O25" s="19"/>
    </row>
    <row r="26" spans="1:15" ht="18.75">
      <c r="A26" s="30" t="s">
        <v>329</v>
      </c>
      <c r="B26" s="5"/>
      <c r="C26" s="5"/>
      <c r="D26" s="5"/>
      <c r="E26" s="5"/>
      <c r="F26" s="5"/>
      <c r="G26" s="5"/>
      <c r="H26" s="5"/>
      <c r="I26" s="5"/>
      <c r="J26" s="5"/>
      <c r="K26" s="10"/>
      <c r="L26" s="10" t="s">
        <v>138</v>
      </c>
      <c r="M26" s="5"/>
      <c r="O26" s="19"/>
    </row>
    <row r="27" spans="1:15">
      <c r="A27" s="1"/>
      <c r="B27" s="5" t="s">
        <v>456</v>
      </c>
      <c r="C27" s="7">
        <v>30</v>
      </c>
      <c r="D27" s="5"/>
      <c r="E27" s="5" t="s">
        <v>457</v>
      </c>
      <c r="F27" s="5" t="s">
        <v>389</v>
      </c>
      <c r="G27" s="32" t="s">
        <v>458</v>
      </c>
      <c r="H27" s="5">
        <v>4.7</v>
      </c>
      <c r="I27" s="5">
        <v>17</v>
      </c>
      <c r="J27" s="5">
        <v>1</v>
      </c>
      <c r="K27" s="9" t="s">
        <v>459</v>
      </c>
      <c r="L27" s="10" t="s">
        <v>138</v>
      </c>
      <c r="M27" s="5" t="s">
        <v>214</v>
      </c>
      <c r="O27" s="19" t="s">
        <v>77</v>
      </c>
    </row>
    <row r="28" spans="1:15" ht="18.75">
      <c r="A28" s="30" t="s">
        <v>336</v>
      </c>
      <c r="B28" s="5"/>
      <c r="C28" s="5"/>
      <c r="D28" s="5"/>
      <c r="E28" s="5"/>
      <c r="F28" s="5"/>
      <c r="G28" s="5"/>
      <c r="H28" s="5"/>
      <c r="I28" s="5"/>
      <c r="J28" s="5"/>
      <c r="K28" s="10"/>
      <c r="L28" s="10" t="s">
        <v>138</v>
      </c>
      <c r="M28" s="5"/>
      <c r="O28" s="19"/>
    </row>
    <row r="29" spans="1:15">
      <c r="A29" s="1"/>
      <c r="B29" s="5" t="s">
        <v>460</v>
      </c>
      <c r="C29" s="7">
        <v>24.99</v>
      </c>
      <c r="D29" s="7">
        <v>8.99</v>
      </c>
      <c r="E29" s="5" t="s">
        <v>461</v>
      </c>
      <c r="F29" s="5" t="s">
        <v>389</v>
      </c>
      <c r="G29" s="11" t="s">
        <v>462</v>
      </c>
      <c r="H29" s="5">
        <v>5</v>
      </c>
      <c r="I29" s="5">
        <v>12</v>
      </c>
      <c r="J29" s="5">
        <v>1</v>
      </c>
      <c r="K29" s="9" t="s">
        <v>463</v>
      </c>
      <c r="L29" s="10" t="s">
        <v>138</v>
      </c>
      <c r="M29" s="5" t="s">
        <v>464</v>
      </c>
      <c r="O29" s="19"/>
    </row>
    <row r="30" spans="1:15">
      <c r="A30" s="1"/>
      <c r="B30" s="5" t="s">
        <v>465</v>
      </c>
      <c r="C30" s="7">
        <v>24.99</v>
      </c>
      <c r="D30" s="7">
        <v>8.99</v>
      </c>
      <c r="E30" s="5" t="s">
        <v>466</v>
      </c>
      <c r="F30" s="5" t="s">
        <v>467</v>
      </c>
      <c r="G30" s="5" t="s">
        <v>363</v>
      </c>
      <c r="H30" s="5">
        <v>5</v>
      </c>
      <c r="I30" s="5">
        <v>6</v>
      </c>
      <c r="J30" s="5">
        <v>1</v>
      </c>
      <c r="K30" s="9" t="s">
        <v>468</v>
      </c>
      <c r="L30" s="10" t="s">
        <v>138</v>
      </c>
      <c r="M30" s="5" t="s">
        <v>469</v>
      </c>
      <c r="O30" s="19"/>
    </row>
    <row r="31" spans="1:15">
      <c r="A31" s="1"/>
      <c r="B31" s="5" t="s">
        <v>470</v>
      </c>
      <c r="C31" s="7">
        <v>24.99</v>
      </c>
      <c r="D31" s="7">
        <v>8.99</v>
      </c>
      <c r="E31" s="5" t="s">
        <v>457</v>
      </c>
      <c r="F31" s="5" t="s">
        <v>389</v>
      </c>
      <c r="G31" s="19" t="s">
        <v>471</v>
      </c>
      <c r="H31" s="5">
        <v>4.8</v>
      </c>
      <c r="I31" s="5">
        <v>6</v>
      </c>
      <c r="J31" s="5">
        <v>1</v>
      </c>
      <c r="K31" s="9" t="s">
        <v>472</v>
      </c>
      <c r="L31" s="10" t="s">
        <v>138</v>
      </c>
      <c r="M31" s="5" t="s">
        <v>464</v>
      </c>
      <c r="O31" s="19"/>
    </row>
    <row r="32" spans="1:15" ht="18.75">
      <c r="A32" s="30" t="s">
        <v>361</v>
      </c>
      <c r="B32" s="5"/>
      <c r="C32" s="5"/>
      <c r="D32" s="5"/>
      <c r="E32" s="5"/>
      <c r="F32" s="5"/>
      <c r="G32" s="5"/>
      <c r="H32" s="5"/>
      <c r="I32" s="5"/>
      <c r="J32" s="5"/>
      <c r="K32" s="10"/>
      <c r="L32" s="10" t="s">
        <v>138</v>
      </c>
      <c r="M32" s="5"/>
      <c r="O32" s="19"/>
    </row>
    <row r="33" spans="1:15">
      <c r="A33" s="1"/>
      <c r="B33" s="5" t="s">
        <v>473</v>
      </c>
      <c r="C33" s="7">
        <v>40</v>
      </c>
      <c r="D33" s="5"/>
      <c r="E33" s="5" t="s">
        <v>466</v>
      </c>
      <c r="F33" s="5" t="s">
        <v>467</v>
      </c>
      <c r="G33" s="5" t="s">
        <v>223</v>
      </c>
      <c r="H33" s="5">
        <v>5</v>
      </c>
      <c r="I33" s="5">
        <v>1</v>
      </c>
      <c r="J33" s="5">
        <v>3</v>
      </c>
      <c r="K33" s="9" t="s">
        <v>474</v>
      </c>
      <c r="L33" s="10" t="s">
        <v>475</v>
      </c>
      <c r="M33" s="5" t="s">
        <v>469</v>
      </c>
      <c r="N33" s="3" t="s">
        <v>476</v>
      </c>
      <c r="O33" s="19" t="s">
        <v>393</v>
      </c>
    </row>
    <row r="34" spans="1:15">
      <c r="A34" s="1"/>
      <c r="B34" s="5"/>
      <c r="C34" s="5"/>
      <c r="D34" s="5"/>
      <c r="E34" s="5"/>
      <c r="F34" s="5"/>
      <c r="G34" s="5"/>
      <c r="H34" s="5"/>
      <c r="I34" s="5"/>
      <c r="J34" s="5"/>
      <c r="K34" s="10"/>
      <c r="L34" s="10" t="s">
        <v>138</v>
      </c>
      <c r="M34" s="5"/>
      <c r="O34" s="19"/>
    </row>
    <row r="35" spans="1:15">
      <c r="A35" s="1"/>
      <c r="B35" s="5"/>
      <c r="C35" s="5"/>
      <c r="D35" s="5"/>
      <c r="E35" s="5"/>
      <c r="F35" s="5"/>
      <c r="G35" s="5"/>
      <c r="H35" s="5"/>
      <c r="I35" s="5"/>
      <c r="J35" s="5"/>
      <c r="K35" s="10"/>
      <c r="L35" s="10" t="s">
        <v>138</v>
      </c>
      <c r="M35" s="5"/>
      <c r="O35" s="19"/>
    </row>
    <row r="36" spans="1:15">
      <c r="A36" s="1"/>
      <c r="B36" s="5"/>
      <c r="C36" s="5"/>
      <c r="D36" s="5"/>
      <c r="E36" s="5"/>
      <c r="F36" s="5"/>
      <c r="G36" s="5"/>
      <c r="H36" s="5"/>
      <c r="I36" s="5"/>
      <c r="J36" s="5"/>
      <c r="K36" s="10"/>
      <c r="L36" s="10" t="s">
        <v>138</v>
      </c>
      <c r="M36" s="5"/>
      <c r="O36" s="19"/>
    </row>
    <row r="37" spans="1:15">
      <c r="A37" s="1"/>
      <c r="B37" s="5"/>
      <c r="C37" s="5"/>
      <c r="D37" s="5"/>
      <c r="E37" s="5"/>
      <c r="F37" s="5"/>
      <c r="G37" s="5"/>
      <c r="H37" s="5"/>
      <c r="I37" s="5"/>
      <c r="J37" s="5"/>
      <c r="K37" s="10"/>
      <c r="L37" s="10" t="s">
        <v>138</v>
      </c>
      <c r="M37" s="5"/>
      <c r="O37" s="19"/>
    </row>
    <row r="38" spans="1:15">
      <c r="A38" s="1"/>
      <c r="B38" s="5"/>
      <c r="C38" s="5"/>
      <c r="D38" s="5"/>
      <c r="E38" s="5"/>
      <c r="F38" s="5"/>
      <c r="G38" s="5"/>
      <c r="H38" s="5"/>
      <c r="I38" s="5"/>
      <c r="J38" s="5"/>
      <c r="K38" s="10"/>
      <c r="L38" s="10" t="s">
        <v>138</v>
      </c>
      <c r="M38" s="5"/>
      <c r="O38" s="19"/>
    </row>
    <row r="39" spans="1:15">
      <c r="A39" s="1"/>
      <c r="B39" s="5"/>
      <c r="C39" s="5"/>
      <c r="D39" s="5"/>
      <c r="E39" s="5"/>
      <c r="F39" s="5"/>
      <c r="G39" s="5"/>
      <c r="H39" s="5"/>
      <c r="I39" s="5"/>
      <c r="J39" s="5"/>
      <c r="K39" s="10"/>
      <c r="L39" s="10" t="s">
        <v>138</v>
      </c>
      <c r="M39" s="5"/>
      <c r="O39" s="19"/>
    </row>
    <row r="40" spans="1:15">
      <c r="A40" s="1"/>
      <c r="B40" s="5"/>
      <c r="C40" s="5"/>
      <c r="D40" s="5"/>
      <c r="E40" s="5"/>
      <c r="F40" s="5"/>
      <c r="G40" s="5"/>
      <c r="H40" s="5"/>
      <c r="I40" s="5"/>
      <c r="J40" s="5"/>
      <c r="K40" s="10"/>
      <c r="L40" s="10" t="s">
        <v>138</v>
      </c>
      <c r="M40" s="5"/>
      <c r="O40" s="19"/>
    </row>
    <row r="41" spans="1:15">
      <c r="A41" s="1"/>
      <c r="B41" s="5"/>
      <c r="C41" s="5"/>
      <c r="D41" s="5"/>
      <c r="E41" s="5"/>
      <c r="F41" s="5"/>
      <c r="G41" s="5"/>
      <c r="H41" s="5"/>
      <c r="I41" s="5"/>
      <c r="J41" s="5"/>
      <c r="K41" s="10"/>
      <c r="L41" s="10" t="s">
        <v>138</v>
      </c>
      <c r="M41" s="5"/>
      <c r="O41" s="19"/>
    </row>
    <row r="42" spans="1:15">
      <c r="A42" s="1"/>
      <c r="B42" s="5"/>
      <c r="C42" s="5"/>
      <c r="D42" s="5"/>
      <c r="E42" s="5"/>
      <c r="F42" s="5"/>
      <c r="G42" s="5"/>
      <c r="H42" s="5"/>
      <c r="I42" s="5"/>
      <c r="J42" s="5"/>
      <c r="K42" s="10"/>
      <c r="L42" s="10" t="s">
        <v>138</v>
      </c>
      <c r="M42" s="5"/>
      <c r="O42" s="19"/>
    </row>
    <row r="43" spans="1:15">
      <c r="A43" s="1"/>
      <c r="B43" s="5"/>
      <c r="C43" s="5"/>
      <c r="D43" s="5"/>
      <c r="E43" s="5"/>
      <c r="F43" s="5"/>
      <c r="G43" s="5"/>
      <c r="H43" s="5"/>
      <c r="I43" s="5"/>
      <c r="J43" s="5"/>
      <c r="K43" s="10"/>
      <c r="L43" s="10" t="s">
        <v>138</v>
      </c>
      <c r="M43" s="5"/>
      <c r="O43" s="19"/>
    </row>
    <row r="44" spans="1:15">
      <c r="A44" s="1"/>
      <c r="B44" s="5"/>
      <c r="C44" s="5"/>
      <c r="D44" s="5"/>
      <c r="E44" s="5"/>
      <c r="F44" s="5"/>
      <c r="G44" s="5"/>
      <c r="H44" s="5"/>
      <c r="I44" s="5"/>
      <c r="J44" s="5"/>
      <c r="K44" s="10"/>
      <c r="L44" s="10" t="s">
        <v>138</v>
      </c>
      <c r="M44" s="5"/>
      <c r="O44" s="19"/>
    </row>
    <row r="45" spans="1:15">
      <c r="A45" s="1"/>
      <c r="B45" s="5"/>
      <c r="C45" s="5"/>
      <c r="D45" s="5"/>
      <c r="E45" s="5"/>
      <c r="F45" s="5"/>
      <c r="G45" s="5"/>
      <c r="H45" s="5"/>
      <c r="I45" s="5"/>
      <c r="J45" s="5"/>
      <c r="K45" s="10"/>
      <c r="L45" s="10" t="s">
        <v>138</v>
      </c>
      <c r="M45" s="5"/>
      <c r="O45" s="19"/>
    </row>
    <row r="46" spans="1:15">
      <c r="A46" s="1"/>
      <c r="B46" s="5"/>
      <c r="C46" s="5"/>
      <c r="D46" s="5"/>
      <c r="E46" s="5"/>
      <c r="F46" s="5"/>
      <c r="G46" s="5"/>
      <c r="H46" s="5"/>
      <c r="I46" s="5"/>
      <c r="J46" s="5"/>
      <c r="K46" s="10"/>
      <c r="L46" s="10" t="s">
        <v>138</v>
      </c>
      <c r="M46" s="5"/>
      <c r="O46" s="19"/>
    </row>
    <row r="47" spans="1:15">
      <c r="A47" s="1"/>
      <c r="B47" s="5"/>
      <c r="C47" s="5"/>
      <c r="D47" s="5"/>
      <c r="E47" s="5"/>
      <c r="F47" s="5"/>
      <c r="G47" s="5"/>
      <c r="H47" s="5"/>
      <c r="I47" s="5"/>
      <c r="J47" s="5"/>
      <c r="K47" s="10"/>
      <c r="L47" s="10" t="s">
        <v>138</v>
      </c>
      <c r="M47" s="5"/>
      <c r="O47" s="19"/>
    </row>
    <row r="48" spans="1:15">
      <c r="A48" s="1"/>
      <c r="B48" s="5"/>
      <c r="C48" s="5"/>
      <c r="D48" s="5"/>
      <c r="E48" s="5"/>
      <c r="F48" s="5"/>
      <c r="G48" s="5"/>
      <c r="H48" s="5"/>
      <c r="I48" s="5"/>
      <c r="J48" s="5"/>
      <c r="K48" s="10"/>
      <c r="L48" s="10" t="s">
        <v>138</v>
      </c>
      <c r="M48" s="5"/>
      <c r="O48" s="19"/>
    </row>
    <row r="49" spans="1:15">
      <c r="A49" s="1"/>
      <c r="B49" s="5"/>
      <c r="C49" s="5"/>
      <c r="D49" s="5"/>
      <c r="E49" s="5"/>
      <c r="F49" s="5"/>
      <c r="G49" s="5"/>
      <c r="H49" s="5"/>
      <c r="I49" s="5"/>
      <c r="J49" s="5"/>
      <c r="K49" s="10"/>
      <c r="L49" s="10" t="s">
        <v>138</v>
      </c>
      <c r="M49" s="5"/>
      <c r="O49" s="19"/>
    </row>
    <row r="50" spans="1:15">
      <c r="A50" s="1"/>
      <c r="B50" s="5"/>
      <c r="C50" s="5"/>
      <c r="D50" s="5"/>
      <c r="E50" s="5"/>
      <c r="F50" s="5"/>
      <c r="G50" s="5"/>
      <c r="H50" s="5"/>
      <c r="I50" s="5"/>
      <c r="J50" s="5"/>
      <c r="K50" s="10"/>
      <c r="L50" s="10" t="s">
        <v>138</v>
      </c>
      <c r="M50" s="5"/>
      <c r="O50" s="19"/>
    </row>
    <row r="51" spans="1:15">
      <c r="A51" s="1"/>
      <c r="B51" s="5"/>
      <c r="C51" s="5"/>
      <c r="D51" s="5"/>
      <c r="E51" s="5"/>
      <c r="F51" s="5"/>
      <c r="G51" s="5"/>
      <c r="H51" s="5"/>
      <c r="I51" s="5"/>
      <c r="J51" s="5"/>
      <c r="K51" s="10"/>
      <c r="L51" s="10" t="s">
        <v>138</v>
      </c>
      <c r="M51" s="5"/>
      <c r="O51" s="19"/>
    </row>
    <row r="52" spans="1:15">
      <c r="A52" s="1"/>
      <c r="B52" s="5"/>
      <c r="C52" s="5"/>
      <c r="D52" s="5"/>
      <c r="E52" s="5"/>
      <c r="F52" s="5"/>
      <c r="G52" s="5"/>
      <c r="H52" s="5"/>
      <c r="I52" s="5"/>
      <c r="J52" s="5"/>
      <c r="K52" s="10"/>
      <c r="L52" s="10" t="s">
        <v>138</v>
      </c>
      <c r="M52" s="5"/>
      <c r="O52" s="19"/>
    </row>
    <row r="53" spans="1:15">
      <c r="A53" s="1"/>
      <c r="B53" s="5"/>
      <c r="C53" s="5"/>
      <c r="D53" s="5"/>
      <c r="E53" s="5"/>
      <c r="F53" s="5"/>
      <c r="G53" s="5"/>
      <c r="H53" s="5"/>
      <c r="I53" s="5"/>
      <c r="J53" s="5"/>
      <c r="K53" s="10"/>
      <c r="L53" s="10" t="s">
        <v>138</v>
      </c>
      <c r="M53" s="5"/>
      <c r="O53" s="19"/>
    </row>
    <row r="54" spans="1:15">
      <c r="A54" s="1"/>
      <c r="B54" s="5"/>
      <c r="C54" s="5"/>
      <c r="D54" s="5"/>
      <c r="E54" s="5"/>
      <c r="F54" s="5"/>
      <c r="G54" s="5"/>
      <c r="H54" s="5"/>
      <c r="I54" s="5"/>
      <c r="J54" s="5"/>
      <c r="K54" s="10"/>
      <c r="L54" s="10" t="s">
        <v>138</v>
      </c>
      <c r="M54" s="5"/>
      <c r="O54" s="19"/>
    </row>
    <row r="55" spans="1:15">
      <c r="A55" s="1"/>
      <c r="B55" s="5"/>
      <c r="C55" s="5"/>
      <c r="D55" s="5"/>
      <c r="E55" s="5"/>
      <c r="F55" s="5"/>
      <c r="G55" s="5"/>
      <c r="H55" s="5"/>
      <c r="I55" s="5"/>
      <c r="J55" s="5"/>
      <c r="K55" s="10"/>
      <c r="L55" s="10" t="s">
        <v>138</v>
      </c>
      <c r="M55" s="5"/>
      <c r="O55" s="19"/>
    </row>
    <row r="56" spans="1:15">
      <c r="A56" s="1"/>
      <c r="B56" s="5"/>
      <c r="C56" s="5"/>
      <c r="D56" s="5"/>
      <c r="E56" s="5"/>
      <c r="F56" s="5"/>
      <c r="G56" s="5"/>
      <c r="H56" s="5"/>
      <c r="I56" s="5"/>
      <c r="J56" s="5"/>
      <c r="K56" s="10"/>
      <c r="L56" s="10" t="s">
        <v>138</v>
      </c>
      <c r="M56" s="5"/>
      <c r="O56" s="19"/>
    </row>
    <row r="57" spans="1:15">
      <c r="A57" s="1"/>
      <c r="B57" s="5"/>
      <c r="C57" s="5"/>
      <c r="D57" s="5"/>
      <c r="E57" s="5"/>
      <c r="F57" s="5"/>
      <c r="G57" s="5"/>
      <c r="H57" s="5"/>
      <c r="I57" s="5"/>
      <c r="J57" s="5"/>
      <c r="K57" s="10"/>
      <c r="L57" s="10" t="s">
        <v>138</v>
      </c>
      <c r="M57" s="5"/>
      <c r="O57" s="5"/>
    </row>
    <row r="58" spans="1:15">
      <c r="A58" s="1"/>
      <c r="B58" s="5"/>
      <c r="C58" s="5"/>
      <c r="D58" s="5"/>
      <c r="E58" s="5"/>
      <c r="F58" s="5"/>
      <c r="G58" s="5"/>
      <c r="H58" s="5"/>
      <c r="I58" s="5"/>
      <c r="J58" s="5"/>
      <c r="K58" s="10"/>
      <c r="L58" s="10" t="s">
        <v>138</v>
      </c>
      <c r="M58" s="5"/>
      <c r="O58" s="5"/>
    </row>
    <row r="59" spans="1:15">
      <c r="A59" s="1"/>
      <c r="B59" s="5"/>
      <c r="C59" s="5"/>
      <c r="D59" s="5"/>
      <c r="E59" s="5"/>
      <c r="F59" s="5"/>
      <c r="G59" s="5"/>
      <c r="H59" s="5"/>
      <c r="I59" s="5"/>
      <c r="J59" s="5"/>
      <c r="K59" s="10"/>
      <c r="L59" s="10" t="s">
        <v>138</v>
      </c>
      <c r="M59" s="5"/>
      <c r="O59" s="5"/>
    </row>
    <row r="60" spans="1:15">
      <c r="A60" s="1"/>
      <c r="B60" s="5"/>
      <c r="C60" s="5"/>
      <c r="D60" s="5"/>
      <c r="E60" s="5"/>
      <c r="F60" s="5"/>
      <c r="G60" s="5"/>
      <c r="H60" s="5"/>
      <c r="I60" s="5"/>
      <c r="J60" s="5"/>
      <c r="K60" s="10"/>
      <c r="L60" s="10" t="s">
        <v>138</v>
      </c>
      <c r="M60" s="5"/>
      <c r="O60" s="5"/>
    </row>
    <row r="61" spans="1:15">
      <c r="A61" s="1"/>
      <c r="B61" s="5"/>
      <c r="C61" s="5"/>
      <c r="D61" s="5"/>
      <c r="E61" s="5"/>
      <c r="F61" s="5"/>
      <c r="G61" s="5"/>
      <c r="H61" s="5"/>
      <c r="I61" s="5"/>
      <c r="J61" s="5"/>
      <c r="K61" s="10"/>
      <c r="L61" s="10" t="s">
        <v>138</v>
      </c>
      <c r="M61" s="5"/>
      <c r="O61" s="5"/>
    </row>
    <row r="62" spans="1:15">
      <c r="B62" s="5"/>
      <c r="C62" s="5"/>
      <c r="D62" s="5"/>
      <c r="E62" s="5"/>
      <c r="F62" s="5"/>
      <c r="G62" s="5"/>
      <c r="H62" s="5"/>
      <c r="I62" s="5"/>
      <c r="J62" s="5"/>
      <c r="K62" s="10"/>
      <c r="L62" s="10" t="s">
        <v>138</v>
      </c>
      <c r="M62" s="5"/>
      <c r="O62" s="5"/>
    </row>
  </sheetData>
  <hyperlinks>
    <hyperlink ref="K4" r:id="rId1" xr:uid="{D9E6D67A-A200-417F-A65A-BA460BA765DC}"/>
    <hyperlink ref="K3" r:id="rId2" xr:uid="{57B331C7-BBCB-497D-803F-15C2DC1040D7}"/>
    <hyperlink ref="K5" r:id="rId3" xr:uid="{17FE1351-E513-465D-8FEC-F72844744C5F}"/>
    <hyperlink ref="K6" r:id="rId4" xr:uid="{967D92CB-793A-4A3C-839D-10B480971926}"/>
    <hyperlink ref="K9" r:id="rId5" xr:uid="{5B3BE133-1652-4337-923C-E021E4C0EE7B}"/>
    <hyperlink ref="K7" r:id="rId6" xr:uid="{F68EAE6B-2470-44F8-8D33-FE41649021F2}"/>
    <hyperlink ref="K8" r:id="rId7" xr:uid="{5294922A-7F71-40CE-9515-17C09305A666}"/>
    <hyperlink ref="K11" r:id="rId8" xr:uid="{D4E07121-BF1D-4C40-AD53-741A83657BAD}"/>
    <hyperlink ref="K12" r:id="rId9" xr:uid="{52E3E231-BE63-4031-9E7B-3DFCE35B0C0B}"/>
    <hyperlink ref="K14" r:id="rId10" xr:uid="{41887B06-96A1-4941-9FC8-1BE6D69448E0}"/>
    <hyperlink ref="K13" r:id="rId11" xr:uid="{E2803219-026C-4874-9C2C-5B442F402B61}"/>
    <hyperlink ref="K10" r:id="rId12" xr:uid="{126422D2-F114-4B16-A35A-5F44CF90F925}"/>
    <hyperlink ref="K16" r:id="rId13" xr:uid="{28ABDAC4-EF4D-4A27-82A9-8D4E29F27BA7}"/>
    <hyperlink ref="K18" r:id="rId14" xr:uid="{AC239293-B8EB-40C6-B2DC-A70DC4016873}"/>
    <hyperlink ref="K19" r:id="rId15" xr:uid="{24419002-97B8-4C21-BD9A-172C1D8AF82D}"/>
    <hyperlink ref="K17" r:id="rId16" xr:uid="{0CA4A582-DE36-475A-8ECF-2BD642EE6D87}"/>
    <hyperlink ref="K20" r:id="rId17" xr:uid="{C9A4C398-5874-4722-8FD4-28C71A2E60EB}"/>
    <hyperlink ref="K21" r:id="rId18" xr:uid="{4B527660-7B39-491C-9E90-C63B04D20692}"/>
    <hyperlink ref="K25" r:id="rId19" xr:uid="{BB0ADFA9-132E-40C2-9C3B-E7C31F0C95D2}"/>
    <hyperlink ref="K23" r:id="rId20" xr:uid="{C6A5C637-1726-4726-9D31-BFDA789FF15E}"/>
    <hyperlink ref="K24" r:id="rId21" xr:uid="{58793B3A-2940-4CF6-A505-456C4F784466}"/>
    <hyperlink ref="K27" r:id="rId22" xr:uid="{56068BC2-53A4-472A-9DBC-8A70113D9B9D}"/>
    <hyperlink ref="K29" r:id="rId23" xr:uid="{CD985341-1A98-4988-AFCD-E3C9A86FE50D}"/>
    <hyperlink ref="K31" r:id="rId24" xr:uid="{FF6FEEF5-9DE6-4CC6-9343-0CDE3D83701C}"/>
    <hyperlink ref="K30" r:id="rId25" xr:uid="{5E975640-8D5F-4A89-8E29-45BA851E00AF}"/>
    <hyperlink ref="K33" r:id="rId26" xr:uid="{E47BC346-ADB2-474A-A6D9-41D747E5FD9E}"/>
  </hyperlinks>
  <pageMargins left="0.7" right="0.7" top="0.75" bottom="0.75" header="0.3" footer="0.3"/>
  <tableParts count="1">
    <tablePart r:id="rId27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EF668-0EFA-4070-B9E9-6B08324B4688}">
  <dimension ref="A1:L25"/>
  <sheetViews>
    <sheetView zoomScale="85" zoomScaleNormal="85" workbookViewId="0">
      <selection activeCell="J43" sqref="J43"/>
    </sheetView>
  </sheetViews>
  <sheetFormatPr defaultRowHeight="15"/>
  <cols>
    <col min="1" max="1" width="20.7109375" customWidth="1"/>
    <col min="2" max="2" width="25.7109375" customWidth="1"/>
    <col min="3" max="7" width="15.7109375" customWidth="1"/>
    <col min="8" max="10" width="25.7109375" customWidth="1"/>
    <col min="11" max="11" width="10.7109375" customWidth="1"/>
    <col min="12" max="12" width="25.7109375" customWidth="1"/>
  </cols>
  <sheetData>
    <row r="1" spans="1:12" ht="20.100000000000001" customHeight="1" thickBot="1">
      <c r="A1" s="26" t="s">
        <v>188</v>
      </c>
      <c r="B1" s="27" t="s">
        <v>189</v>
      </c>
      <c r="C1" s="27" t="s">
        <v>2</v>
      </c>
      <c r="D1" s="27" t="s">
        <v>379</v>
      </c>
      <c r="E1" s="27" t="s">
        <v>191</v>
      </c>
      <c r="F1" s="28" t="s">
        <v>192</v>
      </c>
      <c r="G1" s="27" t="s">
        <v>477</v>
      </c>
      <c r="H1" s="27" t="s">
        <v>478</v>
      </c>
      <c r="I1" s="27" t="s">
        <v>69</v>
      </c>
      <c r="J1" s="29" t="s">
        <v>201</v>
      </c>
      <c r="K1" s="27" t="s">
        <v>203</v>
      </c>
      <c r="L1" s="27" t="s">
        <v>7</v>
      </c>
    </row>
    <row r="2" spans="1:12" ht="20.100000000000001" customHeight="1">
      <c r="A2" s="30" t="s">
        <v>204</v>
      </c>
      <c r="B2" s="45" t="s">
        <v>479</v>
      </c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2" ht="20.100000000000001" customHeight="1">
      <c r="A3" s="18"/>
      <c r="B3" s="32" t="s">
        <v>480</v>
      </c>
      <c r="C3" s="7">
        <v>8.99</v>
      </c>
      <c r="D3" s="5"/>
      <c r="E3" s="5">
        <v>5</v>
      </c>
      <c r="F3" s="5">
        <v>101</v>
      </c>
      <c r="G3" s="5">
        <v>11</v>
      </c>
      <c r="H3" s="11" t="s">
        <v>481</v>
      </c>
      <c r="I3" s="9" t="s">
        <v>482</v>
      </c>
      <c r="J3" s="5" t="s">
        <v>483</v>
      </c>
      <c r="K3" s="5" t="s">
        <v>77</v>
      </c>
      <c r="L3" s="5"/>
    </row>
    <row r="4" spans="1:12" ht="20.100000000000001" customHeight="1">
      <c r="A4" s="18"/>
      <c r="B4" s="33" t="s">
        <v>484</v>
      </c>
      <c r="C4" s="34">
        <v>8.99</v>
      </c>
      <c r="D4" s="31"/>
      <c r="E4" s="31">
        <v>5</v>
      </c>
      <c r="F4" s="31">
        <v>13</v>
      </c>
      <c r="G4" s="31">
        <v>1</v>
      </c>
      <c r="H4" s="31" t="s">
        <v>96</v>
      </c>
      <c r="I4" s="35" t="s">
        <v>485</v>
      </c>
      <c r="J4" s="31" t="s">
        <v>483</v>
      </c>
      <c r="K4" s="31" t="s">
        <v>77</v>
      </c>
      <c r="L4" s="31"/>
    </row>
    <row r="5" spans="1:12" ht="20.100000000000001" customHeight="1">
      <c r="A5" s="18"/>
      <c r="B5" s="32" t="s">
        <v>486</v>
      </c>
      <c r="C5" s="7">
        <v>8.99</v>
      </c>
      <c r="D5" s="5"/>
      <c r="E5" s="5">
        <v>5</v>
      </c>
      <c r="F5" s="5">
        <v>1</v>
      </c>
      <c r="G5" s="5">
        <v>2</v>
      </c>
      <c r="H5" s="5" t="s">
        <v>487</v>
      </c>
      <c r="I5" s="9" t="s">
        <v>488</v>
      </c>
      <c r="J5" s="5" t="s">
        <v>483</v>
      </c>
      <c r="K5" s="5" t="s">
        <v>77</v>
      </c>
      <c r="L5" s="5"/>
    </row>
    <row r="6" spans="1:12" ht="20.100000000000001" customHeight="1">
      <c r="A6" s="18"/>
      <c r="B6" s="33" t="s">
        <v>489</v>
      </c>
      <c r="C6" s="34">
        <v>59.99</v>
      </c>
      <c r="D6" s="31"/>
      <c r="E6" s="31">
        <v>5</v>
      </c>
      <c r="F6" s="31">
        <v>9</v>
      </c>
      <c r="G6" s="31">
        <v>7</v>
      </c>
      <c r="H6" s="36" t="s">
        <v>490</v>
      </c>
      <c r="I6" s="35" t="s">
        <v>491</v>
      </c>
      <c r="J6" s="31" t="s">
        <v>483</v>
      </c>
      <c r="K6" s="31" t="s">
        <v>77</v>
      </c>
      <c r="L6" s="31"/>
    </row>
    <row r="7" spans="1:12" ht="20.100000000000001" customHeight="1">
      <c r="A7" s="30" t="s">
        <v>246</v>
      </c>
      <c r="B7" s="32"/>
      <c r="C7" s="7"/>
      <c r="D7" s="5"/>
      <c r="E7" s="5"/>
      <c r="F7" s="5"/>
      <c r="G7" s="5"/>
      <c r="H7" s="5"/>
      <c r="I7" s="5"/>
      <c r="J7" s="5" t="s">
        <v>138</v>
      </c>
      <c r="K7" s="5"/>
      <c r="L7" s="5"/>
    </row>
    <row r="8" spans="1:12" ht="20.100000000000001" customHeight="1">
      <c r="A8" s="18"/>
      <c r="B8" s="33" t="s">
        <v>492</v>
      </c>
      <c r="C8" s="34">
        <v>13.99</v>
      </c>
      <c r="D8" s="34">
        <v>7.83</v>
      </c>
      <c r="E8" s="31">
        <v>4.9000000000000004</v>
      </c>
      <c r="F8" s="31">
        <v>941</v>
      </c>
      <c r="G8" s="31">
        <v>1</v>
      </c>
      <c r="H8" s="31" t="s">
        <v>96</v>
      </c>
      <c r="I8" s="35" t="s">
        <v>493</v>
      </c>
      <c r="J8" s="31" t="s">
        <v>494</v>
      </c>
      <c r="K8" s="31" t="s">
        <v>401</v>
      </c>
      <c r="L8" s="37" t="s">
        <v>495</v>
      </c>
    </row>
    <row r="9" spans="1:12" ht="20.100000000000001" customHeight="1">
      <c r="A9" s="18"/>
      <c r="B9" s="32" t="s">
        <v>496</v>
      </c>
      <c r="C9" s="7">
        <v>13.99</v>
      </c>
      <c r="D9" s="7">
        <v>7.83</v>
      </c>
      <c r="E9" s="5">
        <v>4.9000000000000004</v>
      </c>
      <c r="F9" s="5">
        <v>941</v>
      </c>
      <c r="G9" s="5">
        <v>1</v>
      </c>
      <c r="H9" s="5" t="s">
        <v>96</v>
      </c>
      <c r="I9" s="9" t="s">
        <v>497</v>
      </c>
      <c r="J9" s="5" t="s">
        <v>494</v>
      </c>
      <c r="K9" s="5" t="s">
        <v>401</v>
      </c>
      <c r="L9" s="5"/>
    </row>
    <row r="10" spans="1:12" ht="20.100000000000001" customHeight="1">
      <c r="A10" s="18"/>
      <c r="B10" s="33" t="s">
        <v>498</v>
      </c>
      <c r="C10" s="34">
        <v>13.99</v>
      </c>
      <c r="D10" s="34">
        <v>7.83</v>
      </c>
      <c r="E10" s="31">
        <v>4.9000000000000004</v>
      </c>
      <c r="F10" s="31">
        <v>9</v>
      </c>
      <c r="G10" s="31">
        <v>1</v>
      </c>
      <c r="H10" s="31" t="s">
        <v>96</v>
      </c>
      <c r="I10" s="35" t="s">
        <v>499</v>
      </c>
      <c r="J10" s="31" t="s">
        <v>494</v>
      </c>
      <c r="K10" s="31" t="s">
        <v>401</v>
      </c>
      <c r="L10" s="31"/>
    </row>
    <row r="11" spans="1:12" ht="20.100000000000001" customHeight="1">
      <c r="A11" s="30" t="s">
        <v>291</v>
      </c>
      <c r="B11" s="32"/>
      <c r="C11" s="7"/>
      <c r="D11" s="4" t="s">
        <v>500</v>
      </c>
      <c r="E11" s="5"/>
      <c r="F11" s="5"/>
      <c r="G11" s="5"/>
      <c r="H11" s="5"/>
      <c r="I11" s="10"/>
      <c r="J11" s="5" t="s">
        <v>138</v>
      </c>
      <c r="K11" s="5"/>
      <c r="L11" s="5"/>
    </row>
    <row r="12" spans="1:12" ht="20.100000000000001" customHeight="1">
      <c r="A12" s="30"/>
      <c r="B12" s="33" t="s">
        <v>501</v>
      </c>
      <c r="C12" s="34">
        <v>12.99</v>
      </c>
      <c r="D12" s="34">
        <v>0</v>
      </c>
      <c r="E12" s="31">
        <v>5</v>
      </c>
      <c r="F12" s="31">
        <v>21</v>
      </c>
      <c r="G12" s="31">
        <v>1</v>
      </c>
      <c r="H12" s="31" t="s">
        <v>96</v>
      </c>
      <c r="I12" s="35" t="s">
        <v>502</v>
      </c>
      <c r="J12" s="31" t="s">
        <v>503</v>
      </c>
      <c r="K12" s="31" t="s">
        <v>401</v>
      </c>
      <c r="L12" s="31"/>
    </row>
    <row r="13" spans="1:12" ht="20.100000000000001" customHeight="1">
      <c r="A13" s="30"/>
      <c r="B13" s="32" t="s">
        <v>504</v>
      </c>
      <c r="C13" s="7">
        <v>12.99</v>
      </c>
      <c r="D13" s="7">
        <v>0</v>
      </c>
      <c r="E13" s="5">
        <v>4.8</v>
      </c>
      <c r="F13" s="5">
        <v>15</v>
      </c>
      <c r="G13" s="5">
        <v>1</v>
      </c>
      <c r="H13" s="5" t="s">
        <v>333</v>
      </c>
      <c r="I13" s="9" t="s">
        <v>505</v>
      </c>
      <c r="J13" s="5" t="s">
        <v>503</v>
      </c>
      <c r="K13" s="5" t="s">
        <v>401</v>
      </c>
      <c r="L13" s="5"/>
    </row>
    <row r="14" spans="1:12" ht="20.100000000000001" customHeight="1">
      <c r="A14" s="30"/>
      <c r="B14" s="33" t="s">
        <v>506</v>
      </c>
      <c r="C14" s="34">
        <v>12.99</v>
      </c>
      <c r="D14" s="34">
        <v>0</v>
      </c>
      <c r="E14" s="31">
        <v>5</v>
      </c>
      <c r="F14" s="31">
        <v>9</v>
      </c>
      <c r="G14" s="31">
        <v>1</v>
      </c>
      <c r="H14" s="31" t="s">
        <v>333</v>
      </c>
      <c r="I14" s="35" t="s">
        <v>507</v>
      </c>
      <c r="J14" s="31" t="s">
        <v>503</v>
      </c>
      <c r="K14" s="31" t="s">
        <v>401</v>
      </c>
      <c r="L14" s="31"/>
    </row>
    <row r="15" spans="1:12" ht="20.100000000000001" customHeight="1">
      <c r="A15" s="30"/>
      <c r="B15" s="32" t="s">
        <v>508</v>
      </c>
      <c r="C15" s="7">
        <v>14.99</v>
      </c>
      <c r="D15" s="7">
        <v>0</v>
      </c>
      <c r="E15" s="5">
        <v>5</v>
      </c>
      <c r="F15" s="5">
        <v>2</v>
      </c>
      <c r="G15" s="5">
        <v>1</v>
      </c>
      <c r="H15" s="5" t="s">
        <v>96</v>
      </c>
      <c r="I15" s="9" t="s">
        <v>509</v>
      </c>
      <c r="J15" s="5" t="s">
        <v>510</v>
      </c>
      <c r="K15" s="5" t="s">
        <v>401</v>
      </c>
      <c r="L15" s="5"/>
    </row>
    <row r="16" spans="1:12" ht="20.100000000000001" customHeight="1">
      <c r="A16" s="18"/>
      <c r="B16" s="32" t="s">
        <v>511</v>
      </c>
      <c r="C16" s="7">
        <v>14.99</v>
      </c>
      <c r="D16" s="7">
        <v>0</v>
      </c>
      <c r="E16" s="5">
        <v>5</v>
      </c>
      <c r="F16" s="5">
        <v>5</v>
      </c>
      <c r="G16" s="5">
        <v>1</v>
      </c>
      <c r="H16" s="5" t="s">
        <v>96</v>
      </c>
      <c r="I16" s="9" t="s">
        <v>512</v>
      </c>
      <c r="J16" s="5" t="s">
        <v>513</v>
      </c>
      <c r="K16" s="5" t="s">
        <v>401</v>
      </c>
      <c r="L16" s="5"/>
    </row>
    <row r="17" spans="1:12" ht="20.100000000000001" customHeight="1">
      <c r="A17" s="30" t="s">
        <v>446</v>
      </c>
      <c r="B17" s="33"/>
      <c r="C17" s="34"/>
      <c r="D17" s="31"/>
      <c r="E17" s="31"/>
      <c r="F17" s="31"/>
      <c r="G17" s="31"/>
      <c r="H17" s="31"/>
      <c r="I17" s="37"/>
      <c r="J17" s="31" t="s">
        <v>138</v>
      </c>
      <c r="K17" s="31"/>
      <c r="L17" s="31"/>
    </row>
    <row r="18" spans="1:12" ht="20.100000000000001" customHeight="1">
      <c r="A18" s="18"/>
      <c r="B18" s="32" t="s">
        <v>514</v>
      </c>
      <c r="C18" s="7">
        <v>14.99</v>
      </c>
      <c r="D18" s="5" t="s">
        <v>515</v>
      </c>
      <c r="E18" s="5" t="s">
        <v>96</v>
      </c>
      <c r="F18" s="5" t="s">
        <v>96</v>
      </c>
      <c r="G18" s="5">
        <v>1</v>
      </c>
      <c r="H18" s="5" t="s">
        <v>96</v>
      </c>
      <c r="I18" s="9" t="s">
        <v>516</v>
      </c>
      <c r="J18" s="5" t="s">
        <v>517</v>
      </c>
      <c r="K18" s="5" t="s">
        <v>77</v>
      </c>
      <c r="L18" s="5"/>
    </row>
    <row r="19" spans="1:12" ht="20.100000000000001" customHeight="1">
      <c r="A19" s="30" t="s">
        <v>329</v>
      </c>
      <c r="B19" s="33"/>
      <c r="C19" s="34"/>
      <c r="D19" s="31"/>
      <c r="E19" s="31"/>
      <c r="F19" s="31"/>
      <c r="G19" s="31"/>
      <c r="H19" s="31"/>
      <c r="I19" s="37"/>
      <c r="J19" s="31" t="s">
        <v>138</v>
      </c>
      <c r="K19" s="31"/>
      <c r="L19" s="31"/>
    </row>
    <row r="20" spans="1:12" ht="20.100000000000001" customHeight="1">
      <c r="A20" s="18"/>
      <c r="B20" s="32" t="s">
        <v>518</v>
      </c>
      <c r="C20" s="7">
        <v>12.99</v>
      </c>
      <c r="D20" s="5"/>
      <c r="E20" s="5">
        <v>4.8</v>
      </c>
      <c r="F20" s="5">
        <v>226</v>
      </c>
      <c r="G20" s="5">
        <v>1</v>
      </c>
      <c r="H20" s="5" t="s">
        <v>96</v>
      </c>
      <c r="I20" s="9" t="s">
        <v>519</v>
      </c>
      <c r="J20" s="5" t="s">
        <v>517</v>
      </c>
      <c r="K20" s="5" t="s">
        <v>77</v>
      </c>
      <c r="L20" s="5"/>
    </row>
    <row r="21" spans="1:12" ht="20.100000000000001" customHeight="1">
      <c r="A21" s="30" t="s">
        <v>336</v>
      </c>
      <c r="B21" s="33"/>
      <c r="C21" s="34"/>
      <c r="D21" s="31"/>
      <c r="E21" s="31"/>
      <c r="F21" s="31"/>
      <c r="G21" s="31"/>
      <c r="H21" s="31"/>
      <c r="I21" s="37"/>
      <c r="J21" s="31" t="s">
        <v>138</v>
      </c>
      <c r="K21" s="31"/>
      <c r="L21" s="31"/>
    </row>
    <row r="22" spans="1:12" ht="20.100000000000001" customHeight="1">
      <c r="A22" s="18"/>
      <c r="B22" s="32" t="s">
        <v>520</v>
      </c>
      <c r="C22" s="7">
        <v>12.99</v>
      </c>
      <c r="D22" s="7">
        <v>8.99</v>
      </c>
      <c r="E22" s="5">
        <v>4.8</v>
      </c>
      <c r="F22" s="5">
        <v>352</v>
      </c>
      <c r="G22" s="5">
        <v>1</v>
      </c>
      <c r="H22" s="5" t="s">
        <v>96</v>
      </c>
      <c r="I22" s="9" t="s">
        <v>521</v>
      </c>
      <c r="J22" s="5" t="s">
        <v>522</v>
      </c>
      <c r="K22" s="5" t="s">
        <v>401</v>
      </c>
      <c r="L22" s="10" t="s">
        <v>495</v>
      </c>
    </row>
    <row r="23" spans="1:12" ht="20.100000000000001" customHeight="1">
      <c r="A23" s="18"/>
      <c r="B23" s="33" t="s">
        <v>523</v>
      </c>
      <c r="C23" s="34">
        <v>24.99</v>
      </c>
      <c r="D23" s="34">
        <v>8.99</v>
      </c>
      <c r="E23" s="31">
        <v>4.8</v>
      </c>
      <c r="F23" s="31">
        <v>140</v>
      </c>
      <c r="G23" s="31">
        <v>1</v>
      </c>
      <c r="H23" s="31" t="s">
        <v>96</v>
      </c>
      <c r="I23" s="35" t="s">
        <v>524</v>
      </c>
      <c r="J23" s="31" t="s">
        <v>522</v>
      </c>
      <c r="K23" s="31" t="s">
        <v>401</v>
      </c>
      <c r="L23" s="37" t="s">
        <v>525</v>
      </c>
    </row>
    <row r="24" spans="1:12" ht="20.100000000000001" customHeight="1">
      <c r="A24" s="18"/>
      <c r="B24" s="4" t="s">
        <v>526</v>
      </c>
      <c r="C24" s="7">
        <v>24.99</v>
      </c>
      <c r="D24" s="7">
        <v>8.99</v>
      </c>
      <c r="E24" s="5" t="s">
        <v>96</v>
      </c>
      <c r="F24" s="5">
        <v>0</v>
      </c>
      <c r="G24" s="5">
        <v>1</v>
      </c>
      <c r="H24" s="5" t="s">
        <v>96</v>
      </c>
      <c r="I24" s="9" t="s">
        <v>527</v>
      </c>
      <c r="J24" s="5" t="s">
        <v>522</v>
      </c>
      <c r="K24" s="5" t="s">
        <v>401</v>
      </c>
      <c r="L24" s="5"/>
    </row>
    <row r="25" spans="1:12" ht="20.100000000000001" customHeight="1">
      <c r="A25" s="18"/>
      <c r="B25" s="33" t="s">
        <v>528</v>
      </c>
      <c r="C25" s="34">
        <v>24.99</v>
      </c>
      <c r="D25" s="34">
        <v>8.99</v>
      </c>
      <c r="E25" s="31" t="s">
        <v>96</v>
      </c>
      <c r="F25" s="31">
        <v>0</v>
      </c>
      <c r="G25" s="31">
        <v>1</v>
      </c>
      <c r="H25" s="31" t="s">
        <v>96</v>
      </c>
      <c r="I25" s="35" t="s">
        <v>529</v>
      </c>
      <c r="J25" s="31" t="s">
        <v>522</v>
      </c>
      <c r="K25" s="31" t="s">
        <v>401</v>
      </c>
      <c r="L25" s="31"/>
    </row>
  </sheetData>
  <hyperlinks>
    <hyperlink ref="I6" r:id="rId1" xr:uid="{22EF5BBA-268C-4CA6-8327-7FCB604AD1E0}"/>
    <hyperlink ref="I3" r:id="rId2" xr:uid="{CE2570C5-A12B-46F1-AE28-673F1DCF9F44}"/>
    <hyperlink ref="I4" r:id="rId3" xr:uid="{008CEF9B-8E79-42DD-80F6-8FCE54A25C18}"/>
    <hyperlink ref="I5" r:id="rId4" xr:uid="{EDE37756-572F-4F16-915A-7806F41A8051}"/>
    <hyperlink ref="I8" r:id="rId5" xr:uid="{7CA3C42A-A9B0-4647-9CB1-C4A48DCE476F}"/>
    <hyperlink ref="I9" r:id="rId6" xr:uid="{D36CBBBF-2285-4A0B-BB44-2F0FFEF5EA58}"/>
    <hyperlink ref="I10" r:id="rId7" xr:uid="{3CEAA61F-D33A-4560-9729-3D443AB2A05A}"/>
    <hyperlink ref="I12" r:id="rId8" xr:uid="{4D905114-62DA-4194-A6A4-FF0BA2318780}"/>
    <hyperlink ref="I13" r:id="rId9" xr:uid="{B63EEED6-7D08-460C-A326-BC6843CF5228}"/>
    <hyperlink ref="I14" r:id="rId10" xr:uid="{0BF630F6-7ED2-4307-9915-E5BABAD685D4}"/>
    <hyperlink ref="I16" r:id="rId11" xr:uid="{F2A16C25-9ABF-4CF5-B3A5-9F9FD1DE434C}"/>
    <hyperlink ref="I18" r:id="rId12" xr:uid="{56857FA7-64A7-4931-8F66-065C91BEB489}"/>
    <hyperlink ref="I20" r:id="rId13" xr:uid="{450C8E2A-8E5A-4709-8A9F-8088DDA1CE29}"/>
    <hyperlink ref="I22" r:id="rId14" xr:uid="{55809B58-8724-495F-B730-905B559FD781}"/>
    <hyperlink ref="I23" r:id="rId15" xr:uid="{6D9CA118-A8CB-4C79-A6C5-48CD564801CD}"/>
    <hyperlink ref="I24" r:id="rId16" xr:uid="{A5659900-820C-4A94-93C9-8E9F076E22F5}"/>
    <hyperlink ref="I25" r:id="rId17" xr:uid="{75896A9B-7AA2-4CAB-8608-6DD38B971333}"/>
    <hyperlink ref="I15" r:id="rId18" xr:uid="{E871837C-557F-40A7-A247-D8ED1D04630A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2A5263-2291-42E6-B6D6-8B22110DACFC}">
  <dimension ref="A1:J24"/>
  <sheetViews>
    <sheetView workbookViewId="0">
      <selection activeCell="E30" sqref="E30"/>
    </sheetView>
  </sheetViews>
  <sheetFormatPr defaultRowHeight="15"/>
  <cols>
    <col min="1" max="2" width="20.7109375" customWidth="1"/>
    <col min="3" max="8" width="15.7109375" customWidth="1"/>
    <col min="9" max="9" width="30.7109375" customWidth="1"/>
    <col min="10" max="10" width="20.7109375" customWidth="1"/>
  </cols>
  <sheetData>
    <row r="1" spans="1:10" ht="21.75" thickBot="1">
      <c r="A1" s="26" t="s">
        <v>188</v>
      </c>
      <c r="B1" s="27" t="s">
        <v>189</v>
      </c>
      <c r="C1" s="27" t="s">
        <v>2</v>
      </c>
      <c r="D1" s="27" t="s">
        <v>379</v>
      </c>
      <c r="E1" s="27" t="s">
        <v>191</v>
      </c>
      <c r="F1" s="28" t="s">
        <v>192</v>
      </c>
      <c r="G1" s="27" t="s">
        <v>477</v>
      </c>
      <c r="H1" s="27" t="s">
        <v>478</v>
      </c>
      <c r="I1" s="27" t="s">
        <v>69</v>
      </c>
      <c r="J1" s="29" t="s">
        <v>140</v>
      </c>
    </row>
    <row r="2" spans="1:10" ht="18.75">
      <c r="A2" s="30" t="s">
        <v>204</v>
      </c>
      <c r="B2" s="45" t="s">
        <v>27</v>
      </c>
      <c r="C2" s="31"/>
      <c r="D2" s="31"/>
      <c r="E2" s="31"/>
      <c r="F2" s="31"/>
      <c r="G2" s="31"/>
      <c r="H2" s="31"/>
      <c r="I2" s="31"/>
      <c r="J2" s="31" t="s">
        <v>138</v>
      </c>
    </row>
    <row r="3" spans="1:10">
      <c r="A3" s="18"/>
      <c r="B3" s="5" t="s">
        <v>530</v>
      </c>
      <c r="C3" s="7">
        <v>1.99</v>
      </c>
      <c r="D3" s="5"/>
      <c r="E3" s="5">
        <v>5</v>
      </c>
      <c r="F3" s="5">
        <v>7</v>
      </c>
      <c r="G3" s="5">
        <v>2</v>
      </c>
      <c r="H3" s="5" t="s">
        <v>531</v>
      </c>
      <c r="I3" s="9" t="s">
        <v>532</v>
      </c>
      <c r="J3" s="5" t="s">
        <v>138</v>
      </c>
    </row>
    <row r="4" spans="1:10">
      <c r="A4" s="18"/>
      <c r="B4" s="31" t="s">
        <v>533</v>
      </c>
      <c r="C4" s="34">
        <v>1.99</v>
      </c>
      <c r="D4" s="31"/>
      <c r="E4" s="31">
        <v>5</v>
      </c>
      <c r="F4" s="31">
        <v>7</v>
      </c>
      <c r="G4" s="31">
        <v>2</v>
      </c>
      <c r="H4" s="31" t="s">
        <v>534</v>
      </c>
      <c r="I4" s="35" t="s">
        <v>532</v>
      </c>
      <c r="J4" s="31" t="s">
        <v>138</v>
      </c>
    </row>
    <row r="5" spans="1:10">
      <c r="A5" s="18"/>
      <c r="B5" s="5" t="s">
        <v>535</v>
      </c>
      <c r="C5" s="7">
        <v>1.99</v>
      </c>
      <c r="D5" s="5"/>
      <c r="E5" s="5">
        <v>5</v>
      </c>
      <c r="F5" s="5">
        <v>7</v>
      </c>
      <c r="G5" s="5">
        <v>2</v>
      </c>
      <c r="H5" s="5" t="s">
        <v>536</v>
      </c>
      <c r="I5" s="9" t="s">
        <v>532</v>
      </c>
      <c r="J5" s="5" t="s">
        <v>138</v>
      </c>
    </row>
    <row r="6" spans="1:10">
      <c r="A6" s="18"/>
      <c r="B6" s="31" t="s">
        <v>537</v>
      </c>
      <c r="C6" s="34">
        <v>1.99</v>
      </c>
      <c r="D6" s="31"/>
      <c r="E6" s="31">
        <v>5</v>
      </c>
      <c r="F6" s="31">
        <v>7</v>
      </c>
      <c r="G6" s="31">
        <v>3</v>
      </c>
      <c r="H6" s="31" t="s">
        <v>96</v>
      </c>
      <c r="I6" s="35" t="s">
        <v>532</v>
      </c>
      <c r="J6" s="31" t="s">
        <v>138</v>
      </c>
    </row>
    <row r="7" spans="1:10" ht="18.75">
      <c r="A7" s="30"/>
      <c r="B7" s="32" t="s">
        <v>538</v>
      </c>
      <c r="C7" s="7">
        <v>1.99</v>
      </c>
      <c r="D7" s="5"/>
      <c r="E7" s="5">
        <v>5</v>
      </c>
      <c r="F7" s="5">
        <v>7</v>
      </c>
      <c r="G7" s="5">
        <v>1</v>
      </c>
      <c r="H7" s="5" t="s">
        <v>96</v>
      </c>
      <c r="I7" s="9" t="s">
        <v>532</v>
      </c>
      <c r="J7" s="5" t="s">
        <v>138</v>
      </c>
    </row>
    <row r="8" spans="1:10" ht="18.75">
      <c r="A8" s="30" t="s">
        <v>246</v>
      </c>
      <c r="B8" s="37"/>
      <c r="C8" s="37"/>
      <c r="D8" s="37"/>
      <c r="E8" s="37"/>
      <c r="F8" s="37"/>
      <c r="G8" s="37"/>
      <c r="H8" s="37"/>
      <c r="I8" s="37"/>
      <c r="J8" s="37"/>
    </row>
    <row r="9" spans="1:10">
      <c r="A9" s="18"/>
      <c r="B9" s="5" t="s">
        <v>539</v>
      </c>
      <c r="C9" s="7">
        <v>4.99</v>
      </c>
      <c r="D9" s="5"/>
      <c r="E9" s="5">
        <v>5</v>
      </c>
      <c r="F9" s="5">
        <v>104</v>
      </c>
      <c r="G9" s="5"/>
      <c r="H9" s="5"/>
      <c r="I9" s="9" t="s">
        <v>540</v>
      </c>
      <c r="J9" s="5" t="s">
        <v>541</v>
      </c>
    </row>
    <row r="10" spans="1:10">
      <c r="A10" s="18"/>
      <c r="B10" s="31" t="s">
        <v>542</v>
      </c>
      <c r="C10" s="34">
        <v>4.99</v>
      </c>
      <c r="D10" s="31"/>
      <c r="E10" s="31">
        <v>5</v>
      </c>
      <c r="F10" s="31">
        <v>104</v>
      </c>
      <c r="G10" s="31"/>
      <c r="H10" s="31"/>
      <c r="I10" s="35" t="s">
        <v>543</v>
      </c>
      <c r="J10" s="31" t="s">
        <v>544</v>
      </c>
    </row>
    <row r="11" spans="1:10" ht="18.75">
      <c r="A11" s="30" t="s">
        <v>291</v>
      </c>
      <c r="B11" s="5"/>
      <c r="C11" s="5"/>
      <c r="D11" s="5"/>
      <c r="E11" s="5"/>
      <c r="F11" s="5"/>
      <c r="G11" s="5"/>
      <c r="H11" s="5"/>
      <c r="I11" s="10"/>
      <c r="J11" s="5"/>
    </row>
    <row r="12" spans="1:10" ht="18.75">
      <c r="A12" s="30"/>
      <c r="B12" s="31" t="s">
        <v>545</v>
      </c>
      <c r="C12" s="34">
        <v>0</v>
      </c>
      <c r="D12" s="31"/>
      <c r="E12" s="31"/>
      <c r="F12" s="31"/>
      <c r="G12" s="31"/>
      <c r="H12" s="31"/>
      <c r="I12" s="35" t="s">
        <v>546</v>
      </c>
      <c r="J12" s="31" t="s">
        <v>138</v>
      </c>
    </row>
    <row r="13" spans="1:10" ht="18.75">
      <c r="A13" s="30"/>
      <c r="B13" s="5"/>
      <c r="C13" s="5"/>
      <c r="D13" s="5"/>
      <c r="E13" s="5"/>
      <c r="F13" s="5"/>
      <c r="G13" s="5"/>
      <c r="H13" s="5"/>
      <c r="I13" s="10"/>
      <c r="J13" s="5"/>
    </row>
    <row r="14" spans="1:10" ht="18.75">
      <c r="A14" s="30"/>
      <c r="B14" s="31"/>
      <c r="C14" s="31"/>
      <c r="D14" s="31"/>
      <c r="E14" s="31"/>
      <c r="F14" s="31"/>
      <c r="G14" s="31"/>
      <c r="H14" s="31"/>
      <c r="I14" s="37"/>
      <c r="J14" s="31"/>
    </row>
    <row r="15" spans="1:10">
      <c r="A15" s="18"/>
      <c r="B15" s="5"/>
      <c r="C15" s="5"/>
      <c r="D15" s="5"/>
      <c r="E15" s="5"/>
      <c r="F15" s="5"/>
      <c r="G15" s="5"/>
      <c r="H15" s="5"/>
      <c r="I15" s="10"/>
      <c r="J15" s="5"/>
    </row>
    <row r="16" spans="1:10" ht="18.75">
      <c r="A16" s="30"/>
      <c r="B16" s="33"/>
      <c r="C16" s="34"/>
      <c r="D16" s="31"/>
      <c r="E16" s="31"/>
      <c r="F16" s="31"/>
      <c r="G16" s="31"/>
      <c r="H16" s="31"/>
      <c r="I16" s="37"/>
      <c r="J16" s="31" t="s">
        <v>138</v>
      </c>
    </row>
    <row r="17" spans="1:10">
      <c r="A17" s="18"/>
      <c r="B17" s="5"/>
      <c r="C17" s="5"/>
      <c r="D17" s="5"/>
      <c r="E17" s="5"/>
      <c r="F17" s="5"/>
      <c r="G17" s="5"/>
      <c r="H17" s="5"/>
      <c r="I17" s="10"/>
      <c r="J17" s="5"/>
    </row>
    <row r="18" spans="1:10" ht="18.75">
      <c r="A18" s="30"/>
      <c r="B18" s="33"/>
      <c r="C18" s="34"/>
      <c r="D18" s="31"/>
      <c r="E18" s="31"/>
      <c r="F18" s="31"/>
      <c r="G18" s="31"/>
      <c r="H18" s="31"/>
      <c r="I18" s="37"/>
      <c r="J18" s="31" t="s">
        <v>138</v>
      </c>
    </row>
    <row r="19" spans="1:10">
      <c r="A19" s="18"/>
      <c r="B19" s="5"/>
      <c r="C19" s="5"/>
      <c r="D19" s="5"/>
      <c r="E19" s="5"/>
      <c r="F19" s="5"/>
      <c r="G19" s="5"/>
      <c r="H19" s="5"/>
      <c r="I19" s="10"/>
      <c r="J19" s="5"/>
    </row>
    <row r="20" spans="1:10" ht="18.75">
      <c r="A20" s="30"/>
      <c r="B20" s="33"/>
      <c r="C20" s="34"/>
      <c r="D20" s="31"/>
      <c r="E20" s="31"/>
      <c r="F20" s="31"/>
      <c r="G20" s="31"/>
      <c r="H20" s="31"/>
      <c r="I20" s="37"/>
      <c r="J20" s="31" t="s">
        <v>138</v>
      </c>
    </row>
    <row r="21" spans="1:10">
      <c r="A21" s="18"/>
      <c r="B21" s="10"/>
      <c r="C21" s="10"/>
      <c r="D21" s="10"/>
      <c r="E21" s="10"/>
      <c r="F21" s="10"/>
      <c r="G21" s="10"/>
      <c r="H21" s="10"/>
      <c r="I21" s="10"/>
      <c r="J21" s="10"/>
    </row>
    <row r="22" spans="1:10">
      <c r="A22" s="18"/>
      <c r="B22" s="37"/>
      <c r="C22" s="37"/>
      <c r="D22" s="37"/>
      <c r="E22" s="37"/>
      <c r="F22" s="37"/>
      <c r="G22" s="37"/>
      <c r="H22" s="37"/>
      <c r="I22" s="37"/>
      <c r="J22" s="37"/>
    </row>
    <row r="23" spans="1:10">
      <c r="A23" s="18"/>
      <c r="B23" s="5"/>
      <c r="C23" s="5"/>
      <c r="D23" s="5"/>
      <c r="E23" s="5"/>
      <c r="F23" s="5"/>
      <c r="G23" s="5"/>
      <c r="H23" s="5"/>
      <c r="I23" s="10"/>
      <c r="J23" s="5"/>
    </row>
    <row r="24" spans="1:10">
      <c r="A24" s="18"/>
      <c r="B24" s="31"/>
      <c r="C24" s="31"/>
      <c r="D24" s="31"/>
      <c r="E24" s="31"/>
      <c r="F24" s="31"/>
      <c r="G24" s="31"/>
      <c r="H24" s="31"/>
      <c r="I24" s="37"/>
      <c r="J24" s="31"/>
    </row>
  </sheetData>
  <hyperlinks>
    <hyperlink ref="I3" r:id="rId1" xr:uid="{EB7EA891-5A9A-464B-BFAE-EF66FC1C1A8F}"/>
    <hyperlink ref="I5" r:id="rId2" xr:uid="{E2A78B70-91EF-487B-BE34-48ABFA85CA18}"/>
    <hyperlink ref="I7" r:id="rId3" xr:uid="{D0EF9EB7-4F46-4F11-B0DD-BF25A226869F}"/>
    <hyperlink ref="I4" r:id="rId4" xr:uid="{74E01DF4-E1A7-4862-9D6A-92CE22CB76A4}"/>
    <hyperlink ref="I6" r:id="rId5" xr:uid="{3EFFCFA1-7422-4BE5-91AD-3EEAAF523ACB}"/>
    <hyperlink ref="I10" r:id="rId6" xr:uid="{C51A41B6-AFC1-46FD-9EC5-A2EF486ADB99}"/>
    <hyperlink ref="I9" r:id="rId7" xr:uid="{C9DF6DDA-B5B2-4D88-83D9-6754D90D8BAC}"/>
    <hyperlink ref="I12" r:id="rId8" xr:uid="{43B087EF-2529-461E-A5C2-20FA79E546BE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9F0DF-5324-4166-85C5-EB7F26649E6F}">
  <dimension ref="A1:W72"/>
  <sheetViews>
    <sheetView zoomScale="85" zoomScaleNormal="85" workbookViewId="0">
      <selection activeCell="C12" sqref="C12"/>
    </sheetView>
  </sheetViews>
  <sheetFormatPr defaultRowHeight="15"/>
  <cols>
    <col min="1" max="1" width="15.7109375" customWidth="1"/>
    <col min="2" max="3" width="10.7109375" customWidth="1"/>
    <col min="4" max="4" width="18.140625" bestFit="1" customWidth="1"/>
    <col min="5" max="5" width="10.7109375" customWidth="1"/>
    <col min="6" max="6" width="23.28515625" bestFit="1" customWidth="1"/>
    <col min="7" max="7" width="17.5703125" customWidth="1"/>
    <col min="8" max="8" width="12.7109375" customWidth="1"/>
    <col min="9" max="9" width="7.7109375" customWidth="1"/>
    <col min="10" max="10" width="11.7109375" customWidth="1"/>
    <col min="11" max="11" width="17.7109375" customWidth="1"/>
    <col min="12" max="12" width="13.7109375" customWidth="1"/>
    <col min="13" max="13" width="10.7109375" customWidth="1"/>
    <col min="14" max="14" width="7.7109375" customWidth="1"/>
    <col min="15" max="15" width="10.7109375" customWidth="1"/>
    <col min="16" max="16" width="10.140625" customWidth="1"/>
    <col min="17" max="19" width="9" bestFit="1" customWidth="1"/>
    <col min="20" max="20" width="11.7109375" customWidth="1"/>
    <col min="21" max="21" width="9.42578125" bestFit="1" customWidth="1"/>
    <col min="22" max="22" width="9" bestFit="1" customWidth="1"/>
    <col min="23" max="23" width="12.7109375" customWidth="1"/>
    <col min="25" max="26" width="11" customWidth="1"/>
  </cols>
  <sheetData>
    <row r="1" spans="1:23">
      <c r="H1" s="50"/>
      <c r="I1" s="50"/>
    </row>
    <row r="2" spans="1:23" ht="15.75">
      <c r="A2" s="60" t="s">
        <v>111</v>
      </c>
      <c r="H2" s="50"/>
      <c r="I2" s="50"/>
      <c r="J2" s="48" t="s">
        <v>30</v>
      </c>
      <c r="O2" t="s">
        <v>112</v>
      </c>
      <c r="R2" s="60" t="s">
        <v>29</v>
      </c>
      <c r="W2" s="48" t="s">
        <v>133</v>
      </c>
    </row>
    <row r="3" spans="1:23">
      <c r="A3" t="s">
        <v>0</v>
      </c>
      <c r="B3" t="s">
        <v>1</v>
      </c>
      <c r="C3" t="s">
        <v>2</v>
      </c>
      <c r="D3" s="49" t="s">
        <v>3</v>
      </c>
      <c r="E3" t="s">
        <v>4</v>
      </c>
      <c r="F3" t="s">
        <v>5</v>
      </c>
      <c r="G3" s="50" t="s">
        <v>6</v>
      </c>
      <c r="H3" s="50"/>
      <c r="I3" s="50"/>
      <c r="J3" s="70" t="s">
        <v>5</v>
      </c>
      <c r="K3" s="80" t="s">
        <v>31</v>
      </c>
      <c r="L3" s="68" t="s">
        <v>32</v>
      </c>
      <c r="M3" s="3"/>
      <c r="O3" t="s">
        <v>113</v>
      </c>
      <c r="P3" t="s">
        <v>31</v>
      </c>
      <c r="R3" t="s">
        <v>0</v>
      </c>
      <c r="S3" t="s">
        <v>1</v>
      </c>
      <c r="T3" t="s">
        <v>4</v>
      </c>
      <c r="U3" t="s">
        <v>5</v>
      </c>
      <c r="W3" s="50">
        <v>100</v>
      </c>
    </row>
    <row r="4" spans="1:23">
      <c r="A4" t="s">
        <v>547</v>
      </c>
      <c r="B4" s="50">
        <v>10.84</v>
      </c>
      <c r="C4" s="50">
        <v>32.99</v>
      </c>
      <c r="D4" s="49">
        <f t="shared" ref="D4:D8" si="0">IFERROR(ROUND((C4-B4)/C4, 2), 0)</f>
        <v>0.67</v>
      </c>
      <c r="E4">
        <v>200</v>
      </c>
      <c r="F4" s="50">
        <f>PRODUCT(B4,E4)</f>
        <v>2168</v>
      </c>
      <c r="G4" s="50">
        <f>PRODUCT(C4,E4)</f>
        <v>6598</v>
      </c>
      <c r="H4" s="50"/>
      <c r="I4" s="50"/>
      <c r="J4" s="66">
        <f>SUM(F4:F8)</f>
        <v>9216</v>
      </c>
      <c r="K4" s="66">
        <f>L4-J4</f>
        <v>14302</v>
      </c>
      <c r="L4" s="66">
        <f>SUM(G4:G8)</f>
        <v>23518</v>
      </c>
      <c r="M4" s="3"/>
      <c r="O4" t="s">
        <v>115</v>
      </c>
      <c r="P4" s="50">
        <f>G12-J8</f>
        <v>-10535.887999999999</v>
      </c>
      <c r="R4" t="str">
        <f t="shared" ref="R4:S8" si="1">A4</f>
        <v>Cropped T-shirt</v>
      </c>
      <c r="S4" s="50">
        <f t="shared" si="1"/>
        <v>10.84</v>
      </c>
      <c r="T4">
        <v>30</v>
      </c>
      <c r="U4" s="50">
        <f>PRODUCT(S4,T4)</f>
        <v>325.2</v>
      </c>
    </row>
    <row r="5" spans="1:23">
      <c r="A5" t="s">
        <v>548</v>
      </c>
      <c r="B5" s="50">
        <v>14.42</v>
      </c>
      <c r="C5" s="50">
        <v>39.99</v>
      </c>
      <c r="D5" s="49">
        <f t="shared" si="0"/>
        <v>0.64</v>
      </c>
      <c r="E5">
        <v>200</v>
      </c>
      <c r="F5" s="50">
        <f>PRODUCT(B5,E5)</f>
        <v>2884</v>
      </c>
      <c r="G5" s="50">
        <f>PRODUCT(C5,E5)</f>
        <v>7998</v>
      </c>
      <c r="H5" s="50"/>
      <c r="I5" s="50"/>
      <c r="J5" s="3"/>
      <c r="L5" s="3"/>
      <c r="M5" s="3"/>
      <c r="O5" t="s">
        <v>117</v>
      </c>
      <c r="P5" s="50">
        <f>G13-J8</f>
        <v>-10244.475999999999</v>
      </c>
      <c r="R5" t="str">
        <f t="shared" si="1"/>
        <v>Long Sleeve T-shirt</v>
      </c>
      <c r="S5" s="50">
        <f t="shared" si="1"/>
        <v>14.42</v>
      </c>
      <c r="T5">
        <v>30</v>
      </c>
      <c r="U5" s="50">
        <f>PRODUCT(S5,T5)</f>
        <v>432.6</v>
      </c>
    </row>
    <row r="6" spans="1:23">
      <c r="A6" t="s">
        <v>549</v>
      </c>
      <c r="B6" s="50">
        <v>14.59</v>
      </c>
      <c r="C6" s="50">
        <v>29.99</v>
      </c>
      <c r="D6" s="49">
        <f t="shared" si="0"/>
        <v>0.51</v>
      </c>
      <c r="E6">
        <v>150</v>
      </c>
      <c r="F6" s="50">
        <f>PRODUCT(B6,E6)</f>
        <v>2188.5</v>
      </c>
      <c r="G6" s="50">
        <f>PRODUCT(C6,E6)</f>
        <v>4498.5</v>
      </c>
      <c r="H6" s="50"/>
      <c r="I6" s="50"/>
      <c r="J6" s="54" t="s">
        <v>34</v>
      </c>
      <c r="L6" s="3"/>
      <c r="M6" s="3"/>
      <c r="O6" t="s">
        <v>118</v>
      </c>
      <c r="P6" s="50">
        <f>G14-J8</f>
        <v>-9953.0639999999985</v>
      </c>
      <c r="R6" t="str">
        <f t="shared" si="1"/>
        <v>Trucker Hat</v>
      </c>
      <c r="S6" s="50">
        <f t="shared" si="1"/>
        <v>14.59</v>
      </c>
      <c r="T6">
        <v>25</v>
      </c>
      <c r="U6" s="50">
        <f>PRODUCT(S6,T6)</f>
        <v>364.75</v>
      </c>
    </row>
    <row r="7" spans="1:23">
      <c r="A7" t="s">
        <v>550</v>
      </c>
      <c r="B7" s="50">
        <v>6.79</v>
      </c>
      <c r="C7" s="50">
        <v>13.5</v>
      </c>
      <c r="D7" s="49">
        <f t="shared" si="0"/>
        <v>0.5</v>
      </c>
      <c r="E7">
        <v>150</v>
      </c>
      <c r="F7" s="50">
        <f>PRODUCT(B7,E7)</f>
        <v>1018.5</v>
      </c>
      <c r="G7" s="50">
        <f>PRODUCT(C7,E7)</f>
        <v>2025</v>
      </c>
      <c r="J7" s="85" t="s">
        <v>35</v>
      </c>
      <c r="K7" s="86" t="s">
        <v>36</v>
      </c>
      <c r="L7" s="84" t="s">
        <v>37</v>
      </c>
      <c r="O7" t="s">
        <v>121</v>
      </c>
      <c r="P7" s="50">
        <f>G15-J8</f>
        <v>-9635.16</v>
      </c>
      <c r="R7" t="str">
        <f t="shared" si="1"/>
        <v>Toiletry Bag</v>
      </c>
      <c r="S7" s="50">
        <f t="shared" si="1"/>
        <v>6.79</v>
      </c>
      <c r="T7">
        <v>25</v>
      </c>
      <c r="U7" s="50">
        <f>PRODUCT(S7,T7)</f>
        <v>169.75</v>
      </c>
    </row>
    <row r="8" spans="1:23">
      <c r="A8" t="s">
        <v>551</v>
      </c>
      <c r="B8" s="50">
        <v>6.38</v>
      </c>
      <c r="C8" s="50">
        <v>15.99</v>
      </c>
      <c r="D8" s="49">
        <f t="shared" si="0"/>
        <v>0.6</v>
      </c>
      <c r="E8">
        <v>150</v>
      </c>
      <c r="F8" s="50">
        <f>PRODUCT(B8,E8)</f>
        <v>957</v>
      </c>
      <c r="G8" s="50">
        <f>PRODUCT(C8,E8)</f>
        <v>2398.5</v>
      </c>
      <c r="J8" s="71">
        <f>SUM(U4:U8, J4)</f>
        <v>10827.3</v>
      </c>
      <c r="K8" s="71">
        <f>L4-J8</f>
        <v>12690.7</v>
      </c>
      <c r="L8" s="91">
        <f xml:space="preserve"> ROUND(K8/L4,3)</f>
        <v>0.54</v>
      </c>
      <c r="O8" t="s">
        <v>122</v>
      </c>
      <c r="P8" s="50">
        <f>G16-J8</f>
        <v>-9317.2559999999994</v>
      </c>
      <c r="R8" t="str">
        <f t="shared" si="1"/>
        <v>Tote Bag</v>
      </c>
      <c r="S8" s="50">
        <f t="shared" si="1"/>
        <v>6.38</v>
      </c>
      <c r="T8">
        <v>50</v>
      </c>
      <c r="U8" s="50">
        <f>PRODUCT(S8,T8)</f>
        <v>319</v>
      </c>
    </row>
    <row r="9" spans="1:23">
      <c r="O9" t="s">
        <v>123</v>
      </c>
      <c r="P9" s="50">
        <f>G17-J8</f>
        <v>-8999.351999999999</v>
      </c>
      <c r="S9" s="50"/>
      <c r="U9" s="62">
        <f>SUM(U4:U8)</f>
        <v>1611.3</v>
      </c>
    </row>
    <row r="11" spans="1:23" ht="15.75">
      <c r="A11" s="61" t="s">
        <v>124</v>
      </c>
      <c r="B11" t="s">
        <v>125</v>
      </c>
      <c r="C11" t="s">
        <v>126</v>
      </c>
      <c r="D11" t="s">
        <v>127</v>
      </c>
      <c r="E11" t="s">
        <v>128</v>
      </c>
      <c r="F11" t="s">
        <v>129</v>
      </c>
      <c r="G11" t="s">
        <v>130</v>
      </c>
      <c r="J11" s="48" t="s">
        <v>131</v>
      </c>
      <c r="R11" s="48" t="s">
        <v>132</v>
      </c>
    </row>
    <row r="12" spans="1:23">
      <c r="A12" t="s">
        <v>115</v>
      </c>
      <c r="B12">
        <v>21886</v>
      </c>
      <c r="C12" s="49">
        <v>5.0000000000000001E-4</v>
      </c>
      <c r="D12">
        <f>ROUND(PRODUCT(B12:C12),0)</f>
        <v>11</v>
      </c>
      <c r="E12" s="50">
        <f>AVERAGE(C4:C8)</f>
        <v>26.492000000000001</v>
      </c>
      <c r="F12" s="50">
        <f>PRODUCT(D12:E12)</f>
        <v>291.41200000000003</v>
      </c>
      <c r="G12" s="50">
        <f t="shared" ref="G12:G17" si="2">SUM(G11,F12)</f>
        <v>291.41200000000003</v>
      </c>
      <c r="H12" s="50"/>
      <c r="I12" s="50"/>
      <c r="J12" s="79" t="s">
        <v>134</v>
      </c>
      <c r="K12" s="80" t="s">
        <v>135</v>
      </c>
      <c r="L12" s="98" t="s">
        <v>136</v>
      </c>
      <c r="R12" s="53">
        <v>1.3</v>
      </c>
    </row>
    <row r="13" spans="1:23" ht="15.75">
      <c r="A13" t="s">
        <v>117</v>
      </c>
      <c r="B13">
        <v>21546</v>
      </c>
      <c r="C13" s="49">
        <v>5.0000000000000001E-4</v>
      </c>
      <c r="D13">
        <f t="shared" ref="D13:D17" si="3">ROUND(PRODUCT(B13:C13),0)</f>
        <v>11</v>
      </c>
      <c r="E13" s="50">
        <f>AVERAGE(C4:C8)</f>
        <v>26.492000000000001</v>
      </c>
      <c r="F13" s="50">
        <f t="shared" ref="F13:F17" si="4">PRODUCT(D13:E13)</f>
        <v>291.41200000000003</v>
      </c>
      <c r="G13" s="50">
        <f t="shared" si="2"/>
        <v>582.82400000000007</v>
      </c>
      <c r="H13" s="50"/>
      <c r="I13" s="50"/>
      <c r="J13" s="3" t="e" cm="1">
        <f t="array" ref="J13">INDEX(A12:A17, MATCH(TRUE, G12:G17&gt;=J8, 0))</f>
        <v>#N/A</v>
      </c>
      <c r="K13" s="66">
        <f>L13-J4</f>
        <v>-7388.0519999999997</v>
      </c>
      <c r="L13" s="81">
        <f>SUM(F12:F17)</f>
        <v>1827.9480000000001</v>
      </c>
      <c r="O13" s="60" t="s">
        <v>137</v>
      </c>
    </row>
    <row r="14" spans="1:23">
      <c r="A14" t="s">
        <v>118</v>
      </c>
      <c r="B14">
        <v>22327</v>
      </c>
      <c r="C14" s="49">
        <v>5.0000000000000001E-4</v>
      </c>
      <c r="D14">
        <f t="shared" si="3"/>
        <v>11</v>
      </c>
      <c r="E14" s="50">
        <f>AVERAGE(C4:C8)</f>
        <v>26.492000000000001</v>
      </c>
      <c r="F14" s="50">
        <f t="shared" si="4"/>
        <v>291.41200000000003</v>
      </c>
      <c r="G14" s="50">
        <f t="shared" si="2"/>
        <v>874.2360000000001</v>
      </c>
      <c r="H14" s="50"/>
      <c r="J14" s="54" t="s">
        <v>34</v>
      </c>
      <c r="K14" s="3"/>
      <c r="L14" s="3"/>
      <c r="M14" s="3"/>
      <c r="O14" s="48" t="s">
        <v>140</v>
      </c>
      <c r="P14" s="59" t="s">
        <v>141</v>
      </c>
      <c r="Q14" s="58" t="s">
        <v>142</v>
      </c>
      <c r="R14" s="58" t="s">
        <v>143</v>
      </c>
    </row>
    <row r="15" spans="1:23">
      <c r="A15" t="s">
        <v>121</v>
      </c>
      <c r="B15">
        <v>23134</v>
      </c>
      <c r="C15" s="49">
        <v>5.0000000000000001E-4</v>
      </c>
      <c r="D15">
        <f t="shared" si="3"/>
        <v>12</v>
      </c>
      <c r="E15" s="50">
        <f>AVERAGE(C4:C8)</f>
        <v>26.492000000000001</v>
      </c>
      <c r="F15" s="50">
        <f t="shared" si="4"/>
        <v>317.904</v>
      </c>
      <c r="G15" s="50">
        <f t="shared" si="2"/>
        <v>1192.1400000000001</v>
      </c>
      <c r="H15" s="50"/>
      <c r="J15" s="87" t="s">
        <v>139</v>
      </c>
      <c r="K15" s="83" t="s">
        <v>36</v>
      </c>
      <c r="L15" s="84" t="s">
        <v>3</v>
      </c>
      <c r="O15" t="s">
        <v>144</v>
      </c>
      <c r="P15" s="53">
        <v>0.1</v>
      </c>
      <c r="Q15" s="55">
        <f xml:space="preserve"> ROUND(E4*P15,0)</f>
        <v>20</v>
      </c>
      <c r="R15" s="55">
        <f xml:space="preserve"> ROUND(E5*P15,0)</f>
        <v>20</v>
      </c>
    </row>
    <row r="16" spans="1:23">
      <c r="A16" t="s">
        <v>122</v>
      </c>
      <c r="B16">
        <v>23969</v>
      </c>
      <c r="C16" s="49">
        <v>5.0000000000000001E-4</v>
      </c>
      <c r="D16">
        <f t="shared" si="3"/>
        <v>12</v>
      </c>
      <c r="E16" s="50">
        <f>AVERAGE(C4:C8)</f>
        <v>26.492000000000001</v>
      </c>
      <c r="F16" s="50">
        <f t="shared" si="4"/>
        <v>317.904</v>
      </c>
      <c r="G16" s="50">
        <f t="shared" si="2"/>
        <v>1510.0440000000001</v>
      </c>
      <c r="H16" s="50"/>
      <c r="I16" s="50"/>
      <c r="J16" s="66">
        <f>AVERAGE(F12:F17)</f>
        <v>304.65800000000002</v>
      </c>
      <c r="K16" s="71">
        <f>K13- SUM(U4:U8)</f>
        <v>-8999.351999999999</v>
      </c>
      <c r="L16" s="82">
        <f xml:space="preserve"> ROUND(K16/L13,3)</f>
        <v>-4.923</v>
      </c>
      <c r="O16" t="s">
        <v>145</v>
      </c>
      <c r="P16" s="53">
        <v>0.25</v>
      </c>
      <c r="Q16" s="55">
        <f xml:space="preserve"> ROUND(E4*P16,0)</f>
        <v>50</v>
      </c>
      <c r="R16" s="55">
        <f xml:space="preserve"> ROUND(E5*P16,0)</f>
        <v>50</v>
      </c>
    </row>
    <row r="17" spans="1:23">
      <c r="A17" t="s">
        <v>123</v>
      </c>
      <c r="B17">
        <v>24833</v>
      </c>
      <c r="C17" s="49">
        <v>5.0000000000000001E-4</v>
      </c>
      <c r="D17">
        <f t="shared" si="3"/>
        <v>12</v>
      </c>
      <c r="E17" s="50">
        <f>AVERAGE(C4:C8)</f>
        <v>26.492000000000001</v>
      </c>
      <c r="F17" s="50">
        <f t="shared" si="4"/>
        <v>317.904</v>
      </c>
      <c r="G17" s="50">
        <f t="shared" si="2"/>
        <v>1827.9480000000001</v>
      </c>
      <c r="H17" s="50"/>
      <c r="I17" s="50"/>
      <c r="O17" t="s">
        <v>146</v>
      </c>
      <c r="P17" s="53">
        <v>0.25</v>
      </c>
      <c r="Q17" s="55">
        <f xml:space="preserve"> ROUND(E4*P17,0)</f>
        <v>50</v>
      </c>
      <c r="R17" s="55">
        <f xml:space="preserve"> ROUND(E5*P17,0)</f>
        <v>50</v>
      </c>
    </row>
    <row r="18" spans="1:23">
      <c r="K18" s="50"/>
      <c r="O18" t="s">
        <v>147</v>
      </c>
      <c r="P18" s="53">
        <v>0.25</v>
      </c>
      <c r="Q18" s="55">
        <f xml:space="preserve"> ROUND(E4*P18,0)</f>
        <v>50</v>
      </c>
      <c r="R18" s="55">
        <f xml:space="preserve"> ROUND(E5*P18,0)</f>
        <v>50</v>
      </c>
    </row>
    <row r="19" spans="1:23">
      <c r="O19" t="s">
        <v>148</v>
      </c>
      <c r="P19" s="53">
        <v>0.15</v>
      </c>
      <c r="Q19" s="55">
        <f xml:space="preserve"> ROUND(E4*P19,0)</f>
        <v>30</v>
      </c>
      <c r="R19" s="55">
        <f xml:space="preserve"> ROUND(E5*P19,0)</f>
        <v>30</v>
      </c>
    </row>
    <row r="20" spans="1:23" ht="15.75">
      <c r="J20" s="60" t="str">
        <f>A4</f>
        <v>Cropped T-shirt</v>
      </c>
      <c r="O20" s="51" t="s">
        <v>151</v>
      </c>
      <c r="P20" s="57">
        <f>SUM(P15:P19)</f>
        <v>1</v>
      </c>
      <c r="Q20" s="56">
        <f>E4</f>
        <v>200</v>
      </c>
      <c r="R20" s="56">
        <f>E5</f>
        <v>200</v>
      </c>
      <c r="T20" s="58" t="s">
        <v>152</v>
      </c>
      <c r="U20" s="13">
        <f>SUM(Q15:Q19)</f>
        <v>200</v>
      </c>
      <c r="V20" s="58" t="s">
        <v>153</v>
      </c>
      <c r="W20" s="13">
        <f>SUM(R15:R19)</f>
        <v>200</v>
      </c>
    </row>
    <row r="21" spans="1:23" ht="15.75">
      <c r="A21" s="60" t="s">
        <v>547</v>
      </c>
      <c r="B21" t="s">
        <v>125</v>
      </c>
      <c r="C21" t="s">
        <v>126</v>
      </c>
      <c r="D21" t="s">
        <v>127</v>
      </c>
      <c r="E21" t="s">
        <v>128</v>
      </c>
      <c r="F21" t="s">
        <v>129</v>
      </c>
      <c r="G21" t="s">
        <v>130</v>
      </c>
      <c r="H21" t="s">
        <v>150</v>
      </c>
      <c r="J21" s="67" t="s">
        <v>35</v>
      </c>
      <c r="K21" s="68" t="s">
        <v>136</v>
      </c>
      <c r="L21" s="77" t="s">
        <v>31</v>
      </c>
      <c r="M21" s="70" t="s">
        <v>134</v>
      </c>
    </row>
    <row r="22" spans="1:23">
      <c r="A22" t="s">
        <v>115</v>
      </c>
      <c r="B22">
        <v>21886</v>
      </c>
      <c r="C22" s="49">
        <f xml:space="preserve"> AVERAGE(C12:C17)/5</f>
        <v>1E-4</v>
      </c>
      <c r="D22">
        <f>ROUND(PRODUCT(B22:C22),0)</f>
        <v>2</v>
      </c>
      <c r="E22" s="50">
        <f>C4</f>
        <v>32.99</v>
      </c>
      <c r="F22" s="50">
        <f t="shared" ref="F22:F27" si="5">PRODUCT(D22:E22)</f>
        <v>65.98</v>
      </c>
      <c r="G22" s="50">
        <f t="shared" ref="G22:G27" si="6">SUM(G21,F22)</f>
        <v>65.98</v>
      </c>
      <c r="H22">
        <f>E4-D22</f>
        <v>198</v>
      </c>
      <c r="J22" s="66">
        <f>F4</f>
        <v>2168</v>
      </c>
      <c r="K22" s="66">
        <f xml:space="preserve"> G27</f>
        <v>395.88000000000005</v>
      </c>
      <c r="L22" s="71">
        <f xml:space="preserve"> G27 -F4</f>
        <v>-1772.12</v>
      </c>
      <c r="M22" s="3" t="e" cm="1">
        <f t="array" ref="M22">INDEX(A22:A27, MATCH(TRUE, G22:G27&gt;=F4, 0))</f>
        <v>#N/A</v>
      </c>
      <c r="O22" t="s">
        <v>140</v>
      </c>
      <c r="P22" t="s">
        <v>154</v>
      </c>
      <c r="Q22" t="s">
        <v>155</v>
      </c>
      <c r="R22" t="s">
        <v>156</v>
      </c>
      <c r="S22" t="s">
        <v>157</v>
      </c>
      <c r="T22" t="s">
        <v>158</v>
      </c>
      <c r="U22" t="s">
        <v>159</v>
      </c>
      <c r="V22" t="s">
        <v>160</v>
      </c>
      <c r="W22" t="s">
        <v>161</v>
      </c>
    </row>
    <row r="23" spans="1:23">
      <c r="A23" t="s">
        <v>117</v>
      </c>
      <c r="B23">
        <v>21546</v>
      </c>
      <c r="C23" s="49">
        <f xml:space="preserve"> AVERAGE(C12:C17)/5</f>
        <v>1E-4</v>
      </c>
      <c r="D23">
        <f t="shared" ref="D23:D27" si="7">ROUND(PRODUCT(B23:C23),0)</f>
        <v>2</v>
      </c>
      <c r="E23" s="50">
        <f>C4</f>
        <v>32.99</v>
      </c>
      <c r="F23" s="50">
        <f t="shared" si="5"/>
        <v>65.98</v>
      </c>
      <c r="G23" s="50">
        <f t="shared" si="6"/>
        <v>131.96</v>
      </c>
      <c r="H23">
        <f>H22-D23</f>
        <v>196</v>
      </c>
      <c r="J23" s="3"/>
      <c r="K23" s="3"/>
      <c r="L23" s="3"/>
      <c r="M23" s="3"/>
      <c r="O23" t="s">
        <v>165</v>
      </c>
      <c r="P23">
        <f>ROUND(D22 * P15, 0)</f>
        <v>0</v>
      </c>
      <c r="Q23">
        <f>ROUND(D23 * P15, 0)</f>
        <v>0</v>
      </c>
      <c r="R23">
        <f>ROUND(D24 * P15, 0)</f>
        <v>0</v>
      </c>
      <c r="S23">
        <f>ROUND(D25 * P15, 0)</f>
        <v>0</v>
      </c>
      <c r="T23">
        <f>ROUND(D26 * P15, 0)</f>
        <v>0</v>
      </c>
      <c r="U23">
        <f>ROUND(D27 * P15, 0)</f>
        <v>0</v>
      </c>
      <c r="V23" s="54">
        <f>SUM(P23:U23)</f>
        <v>0</v>
      </c>
      <c r="W23" s="3">
        <f>Q15 -V23</f>
        <v>20</v>
      </c>
    </row>
    <row r="24" spans="1:23">
      <c r="A24" t="s">
        <v>118</v>
      </c>
      <c r="B24">
        <v>22327</v>
      </c>
      <c r="C24" s="49">
        <f xml:space="preserve"> AVERAGE(C12:C17)/5</f>
        <v>1E-4</v>
      </c>
      <c r="D24">
        <f t="shared" si="7"/>
        <v>2</v>
      </c>
      <c r="E24" s="50">
        <f>C4</f>
        <v>32.99</v>
      </c>
      <c r="F24" s="50">
        <f t="shared" si="5"/>
        <v>65.98</v>
      </c>
      <c r="G24" s="50">
        <f t="shared" si="6"/>
        <v>197.94</v>
      </c>
      <c r="H24">
        <f>H23-D24</f>
        <v>194</v>
      </c>
      <c r="J24" s="72" t="s">
        <v>162</v>
      </c>
      <c r="K24" s="73" t="s">
        <v>163</v>
      </c>
      <c r="L24" s="87" t="s">
        <v>164</v>
      </c>
      <c r="M24" s="67" t="s">
        <v>3</v>
      </c>
      <c r="O24" t="s">
        <v>166</v>
      </c>
      <c r="P24">
        <f>ROUND(D22 * P16, 0)</f>
        <v>1</v>
      </c>
      <c r="Q24">
        <f>ROUND(D23 * P16, 0)</f>
        <v>1</v>
      </c>
      <c r="R24">
        <f>ROUND(D24 * P16, 0)</f>
        <v>1</v>
      </c>
      <c r="S24">
        <f>ROUND(D25 * P16, 0)</f>
        <v>1</v>
      </c>
      <c r="T24">
        <f>ROUND(D26 * P16, 0)</f>
        <v>1</v>
      </c>
      <c r="U24">
        <f>ROUND(D27 * P16, 0)</f>
        <v>1</v>
      </c>
      <c r="V24" s="54">
        <f>SUM(P24:U24)</f>
        <v>6</v>
      </c>
      <c r="W24" s="3">
        <f>Q16 -V24</f>
        <v>44</v>
      </c>
    </row>
    <row r="25" spans="1:23">
      <c r="A25" t="s">
        <v>121</v>
      </c>
      <c r="B25">
        <v>23134</v>
      </c>
      <c r="C25" s="49">
        <f t="shared" ref="C25" si="8" xml:space="preserve"> AVERAGE(C12:C17)/5</f>
        <v>1E-4</v>
      </c>
      <c r="D25">
        <f t="shared" si="7"/>
        <v>2</v>
      </c>
      <c r="E25" s="50">
        <f>C4</f>
        <v>32.99</v>
      </c>
      <c r="F25" s="50">
        <f t="shared" si="5"/>
        <v>65.98</v>
      </c>
      <c r="G25" s="50">
        <f t="shared" si="6"/>
        <v>263.92</v>
      </c>
      <c r="H25">
        <f t="shared" ref="H25:H27" si="9">H24-D25</f>
        <v>192</v>
      </c>
      <c r="J25" s="13" t="str" cm="1">
        <f t="array" ref="J25">IFERROR(INDEX(A22:A27, MATCH(TRUE, H22:H27 &lt; J28, 0)), "No Restock Needed")</f>
        <v>No Restock Needed</v>
      </c>
      <c r="K25" s="3">
        <f>SUM(D22:D27)</f>
        <v>12</v>
      </c>
      <c r="L25" s="66">
        <f>AVERAGE(F22:F27)</f>
        <v>65.98</v>
      </c>
      <c r="M25" s="65">
        <f xml:space="preserve"> ROUND(L22/K22,3)</f>
        <v>-4.476</v>
      </c>
      <c r="O25" t="s">
        <v>167</v>
      </c>
      <c r="P25">
        <f>ROUND(D22 * P17, 0)</f>
        <v>1</v>
      </c>
      <c r="Q25">
        <f>ROUND(D23 * P17, 0)</f>
        <v>1</v>
      </c>
      <c r="R25">
        <f>ROUND(D24 * P17, 0)</f>
        <v>1</v>
      </c>
      <c r="S25">
        <f>ROUND(D25 * P17, 0)</f>
        <v>1</v>
      </c>
      <c r="T25">
        <f>ROUND(D26 * P17, 0)</f>
        <v>1</v>
      </c>
      <c r="U25">
        <f>ROUND(D27 * P17, 0)</f>
        <v>1</v>
      </c>
      <c r="V25" s="54">
        <f t="shared" ref="V25:V27" si="10">SUM(P25:U25)</f>
        <v>6</v>
      </c>
      <c r="W25" s="3">
        <f>Q17 -V25</f>
        <v>44</v>
      </c>
    </row>
    <row r="26" spans="1:23">
      <c r="A26" t="s">
        <v>122</v>
      </c>
      <c r="B26">
        <v>23969</v>
      </c>
      <c r="C26" s="49">
        <f xml:space="preserve"> AVERAGE(C12:C17)/5</f>
        <v>1E-4</v>
      </c>
      <c r="D26">
        <f t="shared" si="7"/>
        <v>2</v>
      </c>
      <c r="E26" s="50">
        <f>C4</f>
        <v>32.99</v>
      </c>
      <c r="F26" s="50">
        <f t="shared" si="5"/>
        <v>65.98</v>
      </c>
      <c r="G26" s="50">
        <f t="shared" si="6"/>
        <v>329.90000000000003</v>
      </c>
      <c r="H26">
        <f t="shared" si="9"/>
        <v>190</v>
      </c>
      <c r="J26" s="3"/>
      <c r="K26" s="3"/>
      <c r="L26" s="3"/>
      <c r="M26" s="3"/>
      <c r="O26" t="s">
        <v>147</v>
      </c>
      <c r="P26">
        <f>ROUND(D22 * P18, 0)</f>
        <v>1</v>
      </c>
      <c r="Q26">
        <f>ROUND(D23 * P18, 0)</f>
        <v>1</v>
      </c>
      <c r="R26">
        <f>ROUND(D24 * P18, 0)</f>
        <v>1</v>
      </c>
      <c r="S26">
        <f>ROUND(D25 * P18, 0)</f>
        <v>1</v>
      </c>
      <c r="T26">
        <f>ROUND(D26 * P18, 0)</f>
        <v>1</v>
      </c>
      <c r="U26">
        <f>ROUND(D27 * P18, 0)</f>
        <v>1</v>
      </c>
      <c r="V26" s="54">
        <f t="shared" si="10"/>
        <v>6</v>
      </c>
      <c r="W26" s="3">
        <f>Q18 -V26</f>
        <v>44</v>
      </c>
    </row>
    <row r="27" spans="1:23">
      <c r="A27" t="s">
        <v>123</v>
      </c>
      <c r="B27">
        <v>24833</v>
      </c>
      <c r="C27" s="49">
        <f xml:space="preserve"> AVERAGE(C12:C17)/5</f>
        <v>1E-4</v>
      </c>
      <c r="D27">
        <f t="shared" si="7"/>
        <v>2</v>
      </c>
      <c r="E27" s="50">
        <f>C4</f>
        <v>32.99</v>
      </c>
      <c r="F27" s="50">
        <f t="shared" si="5"/>
        <v>65.98</v>
      </c>
      <c r="G27" s="50">
        <f t="shared" si="6"/>
        <v>395.88000000000005</v>
      </c>
      <c r="H27">
        <f t="shared" si="9"/>
        <v>188</v>
      </c>
      <c r="J27" s="74" t="s">
        <v>168</v>
      </c>
      <c r="K27" s="75" t="s">
        <v>169</v>
      </c>
      <c r="L27" s="76" t="s">
        <v>132</v>
      </c>
      <c r="M27" s="64" t="s">
        <v>170</v>
      </c>
      <c r="O27" t="s">
        <v>148</v>
      </c>
      <c r="P27">
        <f>ROUND(D22 * P19, 0)</f>
        <v>0</v>
      </c>
      <c r="Q27">
        <f>ROUND(D23 * P19, 0)</f>
        <v>0</v>
      </c>
      <c r="R27">
        <f>ROUND(D24 * P19, 0)</f>
        <v>0</v>
      </c>
      <c r="S27">
        <f>ROUND(D25 * P19, 0)</f>
        <v>0</v>
      </c>
      <c r="T27">
        <f>ROUND(D26 *P19, 0)</f>
        <v>0</v>
      </c>
      <c r="U27">
        <f>ROUND(D27 * P19, 0)</f>
        <v>0</v>
      </c>
      <c r="V27" s="54">
        <f t="shared" si="10"/>
        <v>0</v>
      </c>
      <c r="W27" s="3">
        <f>Q19 -V27</f>
        <v>30</v>
      </c>
    </row>
    <row r="28" spans="1:23">
      <c r="J28" s="3">
        <f>ROUND(AVERAGE(D22:D27) * VALUE(LEFT(M28, FIND(" ", M28)-1)) +L28, 0)</f>
        <v>5</v>
      </c>
      <c r="K28" s="3">
        <f>E4 - SUM(D22:D27)</f>
        <v>188</v>
      </c>
      <c r="L28" s="3">
        <f>ROUND(AVERAGE(D22:D27) * R12, 0)</f>
        <v>3</v>
      </c>
      <c r="M28" s="3" t="s">
        <v>171</v>
      </c>
    </row>
    <row r="30" spans="1:23">
      <c r="O30" s="52" t="s">
        <v>552</v>
      </c>
    </row>
    <row r="31" spans="1:23" ht="15.75">
      <c r="J31" s="78" t="str">
        <f>A5</f>
        <v>Long Sleeve T-shirt</v>
      </c>
    </row>
    <row r="32" spans="1:23" ht="15.75">
      <c r="A32" s="78" t="s">
        <v>548</v>
      </c>
      <c r="B32" t="s">
        <v>125</v>
      </c>
      <c r="C32" t="s">
        <v>126</v>
      </c>
      <c r="D32" t="s">
        <v>127</v>
      </c>
      <c r="E32" t="s">
        <v>128</v>
      </c>
      <c r="F32" t="s">
        <v>129</v>
      </c>
      <c r="G32" t="s">
        <v>130</v>
      </c>
      <c r="H32" t="s">
        <v>150</v>
      </c>
      <c r="J32" s="67" t="s">
        <v>35</v>
      </c>
      <c r="K32" s="68" t="s">
        <v>136</v>
      </c>
      <c r="L32" s="69" t="s">
        <v>31</v>
      </c>
      <c r="M32" s="70" t="s">
        <v>134</v>
      </c>
      <c r="O32" t="s">
        <v>140</v>
      </c>
      <c r="P32" t="s">
        <v>154</v>
      </c>
      <c r="Q32" t="s">
        <v>155</v>
      </c>
      <c r="R32" t="s">
        <v>156</v>
      </c>
      <c r="S32" t="s">
        <v>157</v>
      </c>
      <c r="T32" t="s">
        <v>158</v>
      </c>
      <c r="U32" t="s">
        <v>159</v>
      </c>
      <c r="V32" t="s">
        <v>160</v>
      </c>
      <c r="W32" t="s">
        <v>161</v>
      </c>
    </row>
    <row r="33" spans="1:23">
      <c r="A33" s="88" t="s">
        <v>115</v>
      </c>
      <c r="B33" s="88">
        <v>21886</v>
      </c>
      <c r="C33" s="89">
        <f xml:space="preserve"> AVERAGE(C12:C17)/5</f>
        <v>1E-4</v>
      </c>
      <c r="D33" s="88">
        <f t="shared" ref="D33:D38" si="11">ROUND(PRODUCT(B33:C33),0)</f>
        <v>2</v>
      </c>
      <c r="E33" s="90">
        <f>C5</f>
        <v>39.99</v>
      </c>
      <c r="F33" s="90">
        <f t="shared" ref="F33:F38" si="12">PRODUCT(D33:E33)</f>
        <v>79.98</v>
      </c>
      <c r="G33" s="90">
        <f t="shared" ref="G33:G38" si="13">SUM(G32,F33)</f>
        <v>79.98</v>
      </c>
      <c r="H33">
        <f>E5-D33</f>
        <v>198</v>
      </c>
      <c r="J33" s="66">
        <f>F5</f>
        <v>2884</v>
      </c>
      <c r="K33" s="66">
        <f>G38</f>
        <v>479.88000000000005</v>
      </c>
      <c r="L33" s="71">
        <f>K33 - F5</f>
        <v>-2404.12</v>
      </c>
      <c r="M33" s="3" t="e" cm="1">
        <f t="array" ref="M33">INDEX(A33:A38, MATCH(TRUE, G33:G38&gt;=F5, 0))</f>
        <v>#N/A</v>
      </c>
      <c r="O33" t="s">
        <v>165</v>
      </c>
      <c r="P33">
        <f>ROUND(D33 * P15, 0)</f>
        <v>0</v>
      </c>
      <c r="Q33">
        <f>ROUND(D34 * P15, 0)</f>
        <v>0</v>
      </c>
      <c r="R33">
        <f>ROUND(D35 * P15, 0)</f>
        <v>0</v>
      </c>
      <c r="S33">
        <f>ROUND(D36 * P15, 0)</f>
        <v>0</v>
      </c>
      <c r="T33">
        <f>ROUND(D37 * P15, 0)</f>
        <v>0</v>
      </c>
      <c r="U33">
        <f>ROUND(D38 * P15, 0)</f>
        <v>0</v>
      </c>
      <c r="V33" s="54">
        <f xml:space="preserve"> SUM(P33:U33)</f>
        <v>0</v>
      </c>
      <c r="W33" s="3">
        <f>R15 -V33</f>
        <v>20</v>
      </c>
    </row>
    <row r="34" spans="1:23">
      <c r="A34" s="88" t="s">
        <v>117</v>
      </c>
      <c r="B34" s="88">
        <v>21546</v>
      </c>
      <c r="C34" s="89">
        <f xml:space="preserve"> AVERAGE(C12:C17)/5</f>
        <v>1E-4</v>
      </c>
      <c r="D34" s="88">
        <f t="shared" si="11"/>
        <v>2</v>
      </c>
      <c r="E34" s="90">
        <f>C5</f>
        <v>39.99</v>
      </c>
      <c r="F34" s="90">
        <f t="shared" si="12"/>
        <v>79.98</v>
      </c>
      <c r="G34" s="90">
        <f t="shared" si="13"/>
        <v>159.96</v>
      </c>
      <c r="H34">
        <f>H33-D34</f>
        <v>196</v>
      </c>
      <c r="J34" s="3"/>
      <c r="K34" s="3"/>
      <c r="L34" s="3"/>
      <c r="M34" s="3"/>
      <c r="O34" t="s">
        <v>166</v>
      </c>
      <c r="P34">
        <f>ROUND(D33 * P16, 0)</f>
        <v>1</v>
      </c>
      <c r="Q34">
        <f>ROUND(D34 * P16, 0)</f>
        <v>1</v>
      </c>
      <c r="R34">
        <f>ROUND(D35 * P16, 0)</f>
        <v>1</v>
      </c>
      <c r="S34">
        <f>ROUND(D36 * P16, 0)</f>
        <v>1</v>
      </c>
      <c r="T34">
        <f>ROUND(D37 * P16, 0)</f>
        <v>1</v>
      </c>
      <c r="U34">
        <f>ROUND(D38 *P16, 0)</f>
        <v>1</v>
      </c>
      <c r="V34" s="54">
        <f t="shared" ref="V34:V37" si="14" xml:space="preserve"> SUM(P34:U34)</f>
        <v>6</v>
      </c>
      <c r="W34" s="3">
        <f>R16 -V34</f>
        <v>44</v>
      </c>
    </row>
    <row r="35" spans="1:23">
      <c r="A35" s="88" t="s">
        <v>118</v>
      </c>
      <c r="B35" s="88">
        <v>22327</v>
      </c>
      <c r="C35" s="89">
        <f xml:space="preserve"> AVERAGE(C12:C17)/5</f>
        <v>1E-4</v>
      </c>
      <c r="D35" s="88">
        <f t="shared" si="11"/>
        <v>2</v>
      </c>
      <c r="E35" s="90">
        <f>C5</f>
        <v>39.99</v>
      </c>
      <c r="F35" s="90">
        <f t="shared" si="12"/>
        <v>79.98</v>
      </c>
      <c r="G35" s="90">
        <f t="shared" si="13"/>
        <v>239.94</v>
      </c>
      <c r="H35">
        <f>H34-D35</f>
        <v>194</v>
      </c>
      <c r="J35" s="72" t="s">
        <v>162</v>
      </c>
      <c r="K35" s="73" t="s">
        <v>163</v>
      </c>
      <c r="L35" s="87" t="s">
        <v>164</v>
      </c>
      <c r="M35" s="67" t="s">
        <v>3</v>
      </c>
      <c r="O35" t="s">
        <v>167</v>
      </c>
      <c r="P35">
        <f>ROUND(D33 * P17, 0)</f>
        <v>1</v>
      </c>
      <c r="Q35">
        <f>ROUND(D34 * P17, 0)</f>
        <v>1</v>
      </c>
      <c r="R35">
        <f>ROUND(D35 * P17, 0)</f>
        <v>1</v>
      </c>
      <c r="S35">
        <f>ROUND(D36 * P17, 0)</f>
        <v>1</v>
      </c>
      <c r="T35">
        <f>ROUND(D37 * P17, 0)</f>
        <v>1</v>
      </c>
      <c r="U35">
        <f>ROUND(D38 * P17, 0)</f>
        <v>1</v>
      </c>
      <c r="V35" s="54">
        <f t="shared" si="14"/>
        <v>6</v>
      </c>
      <c r="W35" s="3">
        <f>R17 -V35</f>
        <v>44</v>
      </c>
    </row>
    <row r="36" spans="1:23">
      <c r="A36" s="88" t="s">
        <v>121</v>
      </c>
      <c r="B36" s="88">
        <v>23134</v>
      </c>
      <c r="C36" s="89">
        <f xml:space="preserve"> AVERAGE(C12:C17)/5</f>
        <v>1E-4</v>
      </c>
      <c r="D36" s="88">
        <f t="shared" si="11"/>
        <v>2</v>
      </c>
      <c r="E36" s="90">
        <f>C5</f>
        <v>39.99</v>
      </c>
      <c r="F36" s="90">
        <f t="shared" si="12"/>
        <v>79.98</v>
      </c>
      <c r="G36" s="90">
        <f t="shared" si="13"/>
        <v>319.92</v>
      </c>
      <c r="H36">
        <f>H35-D36</f>
        <v>192</v>
      </c>
      <c r="J36" s="13" t="str" cm="1">
        <f t="array" ref="J36">IFERROR(INDEX(A33:A38, MATCH(TRUE, H33:H38 &lt; J39, 0)), "No Restock Needed")</f>
        <v>No Restock Needed</v>
      </c>
      <c r="K36" s="3">
        <f>SUM(D33:D38)</f>
        <v>12</v>
      </c>
      <c r="L36" s="66">
        <f>AVERAGE(F33:F38)</f>
        <v>79.98</v>
      </c>
      <c r="M36" s="65">
        <f xml:space="preserve"> ROUND(L33/K33,3)</f>
        <v>-5.01</v>
      </c>
      <c r="O36" t="s">
        <v>147</v>
      </c>
      <c r="P36">
        <f>ROUND(D33 *P18, 0)</f>
        <v>1</v>
      </c>
      <c r="Q36">
        <f>ROUND(D34 *P18, 0)</f>
        <v>1</v>
      </c>
      <c r="R36">
        <f>ROUND(D35 * P18, 0)</f>
        <v>1</v>
      </c>
      <c r="S36">
        <f>ROUND(D36 * P18, 0)</f>
        <v>1</v>
      </c>
      <c r="T36">
        <f>ROUND(D37 * P18, 0)</f>
        <v>1</v>
      </c>
      <c r="U36">
        <f>ROUND(D38 * P18, 0)</f>
        <v>1</v>
      </c>
      <c r="V36" s="54">
        <f t="shared" si="14"/>
        <v>6</v>
      </c>
      <c r="W36" s="3">
        <f>R18 -V36</f>
        <v>44</v>
      </c>
    </row>
    <row r="37" spans="1:23">
      <c r="A37" s="88" t="s">
        <v>122</v>
      </c>
      <c r="B37" s="88">
        <v>23969</v>
      </c>
      <c r="C37" s="89">
        <f xml:space="preserve"> AVERAGE(C12:C17)/5</f>
        <v>1E-4</v>
      </c>
      <c r="D37" s="88">
        <f t="shared" si="11"/>
        <v>2</v>
      </c>
      <c r="E37" s="90">
        <f>C5</f>
        <v>39.99</v>
      </c>
      <c r="F37" s="90">
        <f t="shared" si="12"/>
        <v>79.98</v>
      </c>
      <c r="G37" s="90">
        <f t="shared" si="13"/>
        <v>399.90000000000003</v>
      </c>
      <c r="H37">
        <f>H36-D37</f>
        <v>190</v>
      </c>
      <c r="J37" s="3"/>
      <c r="K37" s="3"/>
      <c r="L37" s="3"/>
      <c r="M37" s="3"/>
      <c r="O37" t="s">
        <v>148</v>
      </c>
      <c r="P37">
        <f>ROUND(D33 * P19, 0)</f>
        <v>0</v>
      </c>
      <c r="Q37">
        <f>ROUND(D34 *P19, 0)</f>
        <v>0</v>
      </c>
      <c r="R37">
        <f>ROUND(D35 * P19, 0)</f>
        <v>0</v>
      </c>
      <c r="S37">
        <f>ROUND(D36 * P19, 0)</f>
        <v>0</v>
      </c>
      <c r="T37">
        <f>ROUND(D37 *P19, 0)</f>
        <v>0</v>
      </c>
      <c r="U37">
        <f>ROUND(D38 * P19, 0)</f>
        <v>0</v>
      </c>
      <c r="V37" s="54">
        <f t="shared" si="14"/>
        <v>0</v>
      </c>
      <c r="W37" s="3">
        <f>R19 -V37</f>
        <v>30</v>
      </c>
    </row>
    <row r="38" spans="1:23">
      <c r="A38" s="88" t="s">
        <v>123</v>
      </c>
      <c r="B38" s="88">
        <v>24833</v>
      </c>
      <c r="C38" s="89">
        <f xml:space="preserve"> AVERAGE(C12:C17)/5</f>
        <v>1E-4</v>
      </c>
      <c r="D38" s="88">
        <f t="shared" si="11"/>
        <v>2</v>
      </c>
      <c r="E38" s="90">
        <f>C5</f>
        <v>39.99</v>
      </c>
      <c r="F38" s="90">
        <f t="shared" si="12"/>
        <v>79.98</v>
      </c>
      <c r="G38" s="90">
        <f t="shared" si="13"/>
        <v>479.88000000000005</v>
      </c>
      <c r="H38">
        <f>H37-D38</f>
        <v>188</v>
      </c>
      <c r="J38" s="74" t="s">
        <v>168</v>
      </c>
      <c r="K38" s="75" t="s">
        <v>169</v>
      </c>
      <c r="L38" s="76" t="s">
        <v>132</v>
      </c>
      <c r="M38" s="63" t="s">
        <v>170</v>
      </c>
    </row>
    <row r="39" spans="1:23">
      <c r="J39" s="3">
        <f>ROUND(AVERAGE(D33:D38) * VALUE(LEFT(M39, FIND(" ", M39)-1)) +L39, 0)</f>
        <v>5</v>
      </c>
      <c r="K39" s="3">
        <f>E5 - SUM(D33:D38)</f>
        <v>188</v>
      </c>
      <c r="L39" s="3">
        <f>ROUND(AVERAGE(D33:D38) * R12, 0)</f>
        <v>3</v>
      </c>
      <c r="M39" s="3" t="s">
        <v>172</v>
      </c>
      <c r="V39" s="48" t="s">
        <v>34</v>
      </c>
    </row>
    <row r="40" spans="1:23">
      <c r="V40" t="s">
        <v>178</v>
      </c>
      <c r="W40" t="s">
        <v>179</v>
      </c>
    </row>
    <row r="41" spans="1:23">
      <c r="V41" t="s">
        <v>114</v>
      </c>
      <c r="W41" s="50">
        <f>F4+U4</f>
        <v>2493.1999999999998</v>
      </c>
    </row>
    <row r="42" spans="1:23" ht="15.75">
      <c r="J42" s="60" t="str">
        <f>A6</f>
        <v>Trucker Hat</v>
      </c>
      <c r="V42" t="s">
        <v>116</v>
      </c>
      <c r="W42" s="50">
        <f>F5+U5</f>
        <v>3316.6</v>
      </c>
    </row>
    <row r="43" spans="1:23" ht="15.75">
      <c r="A43" s="60" t="s">
        <v>549</v>
      </c>
      <c r="B43" t="s">
        <v>125</v>
      </c>
      <c r="C43" t="s">
        <v>126</v>
      </c>
      <c r="D43" t="s">
        <v>127</v>
      </c>
      <c r="E43" t="s">
        <v>128</v>
      </c>
      <c r="F43" t="s">
        <v>129</v>
      </c>
      <c r="G43" t="s">
        <v>130</v>
      </c>
      <c r="H43" t="s">
        <v>150</v>
      </c>
      <c r="J43" s="67" t="s">
        <v>35</v>
      </c>
      <c r="K43" s="68" t="s">
        <v>136</v>
      </c>
      <c r="L43" s="69" t="s">
        <v>31</v>
      </c>
      <c r="M43" s="70" t="s">
        <v>134</v>
      </c>
      <c r="V43" t="s">
        <v>102</v>
      </c>
      <c r="W43" s="50">
        <f>F6+U6</f>
        <v>2553.25</v>
      </c>
    </row>
    <row r="44" spans="1:23">
      <c r="A44" t="s">
        <v>115</v>
      </c>
      <c r="B44">
        <v>21886</v>
      </c>
      <c r="C44" s="49">
        <f xml:space="preserve"> AVERAGE(C12:C17)/5</f>
        <v>1E-4</v>
      </c>
      <c r="D44">
        <f t="shared" ref="D44:D49" si="15">ROUND(PRODUCT(B44:C44),0)</f>
        <v>2</v>
      </c>
      <c r="E44" s="50">
        <f>C6</f>
        <v>29.99</v>
      </c>
      <c r="F44" s="50">
        <f t="shared" ref="F44:F49" si="16">PRODUCT(D44:E44)</f>
        <v>59.98</v>
      </c>
      <c r="G44" s="50">
        <f t="shared" ref="G44:G49" si="17">SUM(G43,F44)</f>
        <v>59.98</v>
      </c>
      <c r="H44">
        <f>E6-D44</f>
        <v>148</v>
      </c>
      <c r="J44" s="66">
        <f>F6</f>
        <v>2188.5</v>
      </c>
      <c r="K44" s="66">
        <f>G49</f>
        <v>359.88</v>
      </c>
      <c r="L44" s="71">
        <f>G49 - F6</f>
        <v>-1828.62</v>
      </c>
      <c r="M44" s="3" t="e" cm="1">
        <f t="array" ref="M44">INDEX(A44:A49, MATCH(TRUE, G44:G49&gt;=F6, 0))</f>
        <v>#N/A</v>
      </c>
      <c r="V44" t="s">
        <v>119</v>
      </c>
      <c r="W44" s="50">
        <f>F7+U7</f>
        <v>1188.25</v>
      </c>
    </row>
    <row r="45" spans="1:23">
      <c r="A45" t="s">
        <v>117</v>
      </c>
      <c r="B45">
        <v>21546</v>
      </c>
      <c r="C45" s="49">
        <f xml:space="preserve"> AVERAGE(C12:C17)/5</f>
        <v>1E-4</v>
      </c>
      <c r="D45">
        <f t="shared" si="15"/>
        <v>2</v>
      </c>
      <c r="E45" s="50">
        <f>C6</f>
        <v>29.99</v>
      </c>
      <c r="F45" s="50">
        <f t="shared" si="16"/>
        <v>59.98</v>
      </c>
      <c r="G45" s="50">
        <f t="shared" si="17"/>
        <v>119.96</v>
      </c>
      <c r="H45">
        <f t="shared" ref="H45:H49" si="18">H44-D45</f>
        <v>146</v>
      </c>
      <c r="J45" s="3"/>
      <c r="K45" s="3"/>
      <c r="L45" s="3"/>
      <c r="M45" s="3"/>
      <c r="V45" t="s">
        <v>27</v>
      </c>
      <c r="W45" s="50">
        <f>F8+U8</f>
        <v>1276</v>
      </c>
    </row>
    <row r="46" spans="1:23">
      <c r="A46" t="s">
        <v>118</v>
      </c>
      <c r="B46">
        <v>22327</v>
      </c>
      <c r="C46" s="49">
        <f xml:space="preserve"> AVERAGE(C12:C17)/5</f>
        <v>1E-4</v>
      </c>
      <c r="D46">
        <f t="shared" si="15"/>
        <v>2</v>
      </c>
      <c r="E46" s="50">
        <f>C6</f>
        <v>29.99</v>
      </c>
      <c r="F46" s="50">
        <f t="shared" si="16"/>
        <v>59.98</v>
      </c>
      <c r="G46" s="50">
        <f t="shared" si="17"/>
        <v>179.94</v>
      </c>
      <c r="H46">
        <f t="shared" si="18"/>
        <v>144</v>
      </c>
      <c r="J46" s="72" t="s">
        <v>162</v>
      </c>
      <c r="K46" s="73" t="s">
        <v>163</v>
      </c>
      <c r="L46" s="87" t="s">
        <v>164</v>
      </c>
      <c r="M46" s="67" t="s">
        <v>3</v>
      </c>
    </row>
    <row r="47" spans="1:23">
      <c r="A47" t="s">
        <v>121</v>
      </c>
      <c r="B47">
        <v>23134</v>
      </c>
      <c r="C47" s="49">
        <f xml:space="preserve"> AVERAGE(C12:C17)/5</f>
        <v>1E-4</v>
      </c>
      <c r="D47">
        <f t="shared" si="15"/>
        <v>2</v>
      </c>
      <c r="E47" s="50">
        <f>C6</f>
        <v>29.99</v>
      </c>
      <c r="F47" s="50">
        <f t="shared" si="16"/>
        <v>59.98</v>
      </c>
      <c r="G47" s="50">
        <f t="shared" si="17"/>
        <v>239.92</v>
      </c>
      <c r="H47">
        <f t="shared" si="18"/>
        <v>142</v>
      </c>
      <c r="J47" s="3" t="str" cm="1">
        <f t="array" ref="J47">IFERROR(INDEX(A44:A49, MATCH(TRUE, H44:H49 &lt; J50, 0)), "No Restock Needed")</f>
        <v>No Restock Needed</v>
      </c>
      <c r="K47" s="3">
        <f>SUM(D44:D49)</f>
        <v>12</v>
      </c>
      <c r="L47" s="66">
        <f>AVERAGE(F44:F49)</f>
        <v>59.98</v>
      </c>
      <c r="M47" s="65">
        <f xml:space="preserve"> ROUND(L44/K44,3)</f>
        <v>-5.0810000000000004</v>
      </c>
    </row>
    <row r="48" spans="1:23">
      <c r="A48" t="s">
        <v>122</v>
      </c>
      <c r="B48">
        <v>23969</v>
      </c>
      <c r="C48" s="49">
        <f xml:space="preserve"> AVERAGE(C12:C17)/5</f>
        <v>1E-4</v>
      </c>
      <c r="D48">
        <f t="shared" si="15"/>
        <v>2</v>
      </c>
      <c r="E48" s="50">
        <f>C6</f>
        <v>29.99</v>
      </c>
      <c r="F48" s="50">
        <f t="shared" si="16"/>
        <v>59.98</v>
      </c>
      <c r="G48" s="50">
        <f t="shared" si="17"/>
        <v>299.89999999999998</v>
      </c>
      <c r="H48">
        <f t="shared" si="18"/>
        <v>140</v>
      </c>
      <c r="J48" s="3"/>
      <c r="K48" s="3"/>
      <c r="L48" s="3"/>
      <c r="M48" s="3"/>
    </row>
    <row r="49" spans="1:17">
      <c r="A49" t="s">
        <v>123</v>
      </c>
      <c r="B49">
        <v>24833</v>
      </c>
      <c r="C49" s="49">
        <f xml:space="preserve"> AVERAGE(C12:C17)/5</f>
        <v>1E-4</v>
      </c>
      <c r="D49">
        <f t="shared" si="15"/>
        <v>2</v>
      </c>
      <c r="E49" s="50">
        <f>C6</f>
        <v>29.99</v>
      </c>
      <c r="F49" s="50">
        <f t="shared" si="16"/>
        <v>59.98</v>
      </c>
      <c r="G49" s="50">
        <f t="shared" si="17"/>
        <v>359.88</v>
      </c>
      <c r="H49">
        <f t="shared" si="18"/>
        <v>138</v>
      </c>
      <c r="J49" s="74" t="s">
        <v>168</v>
      </c>
      <c r="K49" s="75" t="s">
        <v>169</v>
      </c>
      <c r="L49" s="76" t="s">
        <v>132</v>
      </c>
      <c r="M49" s="63" t="s">
        <v>170</v>
      </c>
    </row>
    <row r="50" spans="1:17">
      <c r="J50" s="3">
        <f>ROUND(AVERAGE(D44:D49) * VALUE(LEFT(M50, FIND(" ", M50)-1)) +L50, 0)</f>
        <v>5</v>
      </c>
      <c r="K50" s="3">
        <f>E6 - SUM(D44:D49)</f>
        <v>138</v>
      </c>
      <c r="L50" s="3">
        <f>ROUND(AVERAGE(D44:D49) * R12, 0)</f>
        <v>3</v>
      </c>
      <c r="M50" s="3" t="s">
        <v>172</v>
      </c>
    </row>
    <row r="53" spans="1:17" ht="15.75">
      <c r="J53" s="60" t="str">
        <f>A7</f>
        <v>Toiletry Bag</v>
      </c>
    </row>
    <row r="54" spans="1:17" ht="15.75">
      <c r="A54" s="60" t="s">
        <v>550</v>
      </c>
      <c r="B54" t="s">
        <v>125</v>
      </c>
      <c r="C54" t="s">
        <v>126</v>
      </c>
      <c r="D54" t="s">
        <v>127</v>
      </c>
      <c r="E54" t="s">
        <v>128</v>
      </c>
      <c r="F54" t="s">
        <v>129</v>
      </c>
      <c r="G54" t="s">
        <v>130</v>
      </c>
      <c r="H54" t="s">
        <v>150</v>
      </c>
      <c r="J54" s="67" t="s">
        <v>35</v>
      </c>
      <c r="K54" s="68" t="s">
        <v>136</v>
      </c>
      <c r="L54" s="69" t="s">
        <v>31</v>
      </c>
      <c r="M54" s="70" t="s">
        <v>134</v>
      </c>
    </row>
    <row r="55" spans="1:17">
      <c r="A55" t="s">
        <v>115</v>
      </c>
      <c r="B55">
        <v>21886</v>
      </c>
      <c r="C55" s="49">
        <f xml:space="preserve"> AVERAGE(C12:C17)/5</f>
        <v>1E-4</v>
      </c>
      <c r="D55">
        <f t="shared" ref="D55:D60" si="19">ROUND(PRODUCT(B55:C55),0)</f>
        <v>2</v>
      </c>
      <c r="E55" s="50">
        <f>C7</f>
        <v>13.5</v>
      </c>
      <c r="F55" s="50">
        <f t="shared" ref="F55:F60" si="20">PRODUCT(D55:E55)</f>
        <v>27</v>
      </c>
      <c r="G55" s="50">
        <f t="shared" ref="G55:G60" si="21">SUM(G54,F55)</f>
        <v>27</v>
      </c>
      <c r="H55">
        <f>E7-D55</f>
        <v>148</v>
      </c>
      <c r="J55" s="66">
        <f>F7</f>
        <v>1018.5</v>
      </c>
      <c r="K55" s="66">
        <f>G60</f>
        <v>162</v>
      </c>
      <c r="L55" s="71">
        <f>G60 - F7</f>
        <v>-856.5</v>
      </c>
      <c r="M55" s="3" t="e" cm="1">
        <f t="array" ref="M55">INDEX(A55:A60, MATCH(TRUE, G55:G60&gt;=F7, 0))</f>
        <v>#N/A</v>
      </c>
    </row>
    <row r="56" spans="1:17">
      <c r="A56" t="s">
        <v>117</v>
      </c>
      <c r="B56">
        <v>21546</v>
      </c>
      <c r="C56" s="49">
        <f xml:space="preserve"> AVERAGE(C12:C17)/5</f>
        <v>1E-4</v>
      </c>
      <c r="D56">
        <f t="shared" si="19"/>
        <v>2</v>
      </c>
      <c r="E56" s="50">
        <f>C7</f>
        <v>13.5</v>
      </c>
      <c r="F56" s="50">
        <f t="shared" si="20"/>
        <v>27</v>
      </c>
      <c r="G56" s="50">
        <f t="shared" si="21"/>
        <v>54</v>
      </c>
      <c r="H56">
        <f>H55-D56</f>
        <v>146</v>
      </c>
      <c r="J56" s="3"/>
      <c r="K56" s="3"/>
      <c r="L56" s="3"/>
      <c r="M56" s="3"/>
    </row>
    <row r="57" spans="1:17">
      <c r="A57" t="s">
        <v>118</v>
      </c>
      <c r="B57">
        <v>22327</v>
      </c>
      <c r="C57" s="49">
        <f xml:space="preserve"> AVERAGE(C12:C17)/5</f>
        <v>1E-4</v>
      </c>
      <c r="D57">
        <f t="shared" si="19"/>
        <v>2</v>
      </c>
      <c r="E57" s="50">
        <f>C7</f>
        <v>13.5</v>
      </c>
      <c r="F57" s="50">
        <f t="shared" si="20"/>
        <v>27</v>
      </c>
      <c r="G57" s="50">
        <f t="shared" si="21"/>
        <v>81</v>
      </c>
      <c r="H57">
        <f>H56-D57</f>
        <v>144</v>
      </c>
      <c r="J57" s="72" t="s">
        <v>162</v>
      </c>
      <c r="K57" s="73" t="s">
        <v>163</v>
      </c>
      <c r="L57" s="87" t="s">
        <v>164</v>
      </c>
      <c r="M57" s="67" t="s">
        <v>3</v>
      </c>
      <c r="O57" t="s">
        <v>174</v>
      </c>
    </row>
    <row r="58" spans="1:17">
      <c r="A58" t="s">
        <v>121</v>
      </c>
      <c r="B58">
        <v>23134</v>
      </c>
      <c r="C58" s="49">
        <f xml:space="preserve"> AVERAGE(C12:C17)/5</f>
        <v>1E-4</v>
      </c>
      <c r="D58">
        <f t="shared" si="19"/>
        <v>2</v>
      </c>
      <c r="E58" s="50">
        <f>C7</f>
        <v>13.5</v>
      </c>
      <c r="F58" s="50">
        <f t="shared" si="20"/>
        <v>27</v>
      </c>
      <c r="G58" s="50">
        <f t="shared" si="21"/>
        <v>108</v>
      </c>
      <c r="H58">
        <f>H57-D58</f>
        <v>142</v>
      </c>
      <c r="J58" s="13" t="str" cm="1">
        <f t="array" ref="J58">IFERROR(INDEX(A55:A60, MATCH(TRUE, H55:H60 &lt; J61, 0)), "No Restock Needed")</f>
        <v>No Restock Needed</v>
      </c>
      <c r="K58" s="3">
        <f>SUM(D55:D60)</f>
        <v>12</v>
      </c>
      <c r="L58" s="66">
        <f>AVERAGE(F55:F60)</f>
        <v>27</v>
      </c>
      <c r="M58" s="65">
        <f xml:space="preserve"> ROUND(L55/K55,3)</f>
        <v>-5.2869999999999999</v>
      </c>
      <c r="O58" t="s">
        <v>113</v>
      </c>
      <c r="P58" t="s">
        <v>175</v>
      </c>
      <c r="Q58" t="s">
        <v>176</v>
      </c>
    </row>
    <row r="59" spans="1:17">
      <c r="A59" t="s">
        <v>122</v>
      </c>
      <c r="B59">
        <v>23969</v>
      </c>
      <c r="C59" s="49">
        <f xml:space="preserve"> AVERAGE(C12:C17)/5</f>
        <v>1E-4</v>
      </c>
      <c r="D59">
        <f t="shared" si="19"/>
        <v>2</v>
      </c>
      <c r="E59" s="50">
        <f>C7</f>
        <v>13.5</v>
      </c>
      <c r="F59" s="50">
        <f t="shared" si="20"/>
        <v>27</v>
      </c>
      <c r="G59" s="50">
        <f t="shared" si="21"/>
        <v>135</v>
      </c>
      <c r="H59">
        <f>H58-D59</f>
        <v>140</v>
      </c>
      <c r="J59" s="3"/>
      <c r="K59" s="3"/>
      <c r="L59" s="3"/>
      <c r="M59" s="3"/>
      <c r="O59" t="s">
        <v>177</v>
      </c>
      <c r="P59">
        <f>ROUND(D12/31, 1)</f>
        <v>0.4</v>
      </c>
      <c r="Q59" s="50">
        <f t="shared" ref="Q59:Q64" si="22">P59*E22</f>
        <v>13.196000000000002</v>
      </c>
    </row>
    <row r="60" spans="1:17">
      <c r="A60" t="s">
        <v>123</v>
      </c>
      <c r="B60">
        <v>24833</v>
      </c>
      <c r="C60" s="49">
        <f xml:space="preserve"> AVERAGE(C12:C17)/5</f>
        <v>1E-4</v>
      </c>
      <c r="D60">
        <f t="shared" si="19"/>
        <v>2</v>
      </c>
      <c r="E60" s="50">
        <f>C7</f>
        <v>13.5</v>
      </c>
      <c r="F60" s="50">
        <f t="shared" si="20"/>
        <v>27</v>
      </c>
      <c r="G60" s="50">
        <f t="shared" si="21"/>
        <v>162</v>
      </c>
      <c r="H60">
        <f>H59-D60</f>
        <v>138</v>
      </c>
      <c r="J60" s="74" t="s">
        <v>168</v>
      </c>
      <c r="K60" s="75" t="s">
        <v>169</v>
      </c>
      <c r="L60" s="76" t="s">
        <v>132</v>
      </c>
      <c r="M60" s="63" t="s">
        <v>170</v>
      </c>
      <c r="O60" t="s">
        <v>180</v>
      </c>
      <c r="P60">
        <f>ROUND(D13/28, 1)</f>
        <v>0.4</v>
      </c>
      <c r="Q60" s="50">
        <f t="shared" si="22"/>
        <v>13.196000000000002</v>
      </c>
    </row>
    <row r="61" spans="1:17">
      <c r="J61" s="3">
        <f>ROUND(AVERAGE(D55:D60) * VALUE(LEFT(M61, FIND(" ", M61)-1)) +L61, 0)</f>
        <v>6</v>
      </c>
      <c r="K61" s="3">
        <f>E7 - SUM(D55:D60)</f>
        <v>138</v>
      </c>
      <c r="L61" s="3">
        <f>ROUND(AVERAGE(D55:D60) * R12, 0)</f>
        <v>3</v>
      </c>
      <c r="M61" s="3" t="s">
        <v>181</v>
      </c>
      <c r="O61" t="s">
        <v>182</v>
      </c>
      <c r="P61">
        <f>ROUND(D14/31, 1)</f>
        <v>0.4</v>
      </c>
      <c r="Q61" s="50">
        <f t="shared" si="22"/>
        <v>13.196000000000002</v>
      </c>
    </row>
    <row r="62" spans="1:17">
      <c r="O62" t="s">
        <v>183</v>
      </c>
      <c r="P62">
        <f>ROUND(D15/30, 1)</f>
        <v>0.4</v>
      </c>
      <c r="Q62" s="50">
        <f t="shared" si="22"/>
        <v>13.196000000000002</v>
      </c>
    </row>
    <row r="63" spans="1:17">
      <c r="O63" t="s">
        <v>184</v>
      </c>
      <c r="P63">
        <f>ROUND(D16/31, 1)</f>
        <v>0.4</v>
      </c>
      <c r="Q63" s="50">
        <f t="shared" si="22"/>
        <v>13.196000000000002</v>
      </c>
    </row>
    <row r="64" spans="1:17" ht="15.75">
      <c r="J64" s="60" t="str">
        <f>A8</f>
        <v>Tote Bag</v>
      </c>
      <c r="O64" t="s">
        <v>185</v>
      </c>
      <c r="P64">
        <f>ROUND(D17/30, 1)</f>
        <v>0.4</v>
      </c>
      <c r="Q64" s="50">
        <f t="shared" si="22"/>
        <v>13.196000000000002</v>
      </c>
    </row>
    <row r="65" spans="1:13" ht="15.75">
      <c r="A65" s="60" t="s">
        <v>551</v>
      </c>
      <c r="B65" t="s">
        <v>125</v>
      </c>
      <c r="C65" t="s">
        <v>126</v>
      </c>
      <c r="D65" t="s">
        <v>127</v>
      </c>
      <c r="E65" t="s">
        <v>128</v>
      </c>
      <c r="F65" t="s">
        <v>129</v>
      </c>
      <c r="G65" t="s">
        <v>130</v>
      </c>
      <c r="H65" s="52" t="s">
        <v>186</v>
      </c>
      <c r="J65" s="67" t="s">
        <v>35</v>
      </c>
      <c r="K65" s="68" t="s">
        <v>136</v>
      </c>
      <c r="L65" s="69" t="s">
        <v>31</v>
      </c>
      <c r="M65" s="70" t="s">
        <v>134</v>
      </c>
    </row>
    <row r="66" spans="1:13">
      <c r="A66" t="s">
        <v>115</v>
      </c>
      <c r="B66">
        <v>21886</v>
      </c>
      <c r="C66" s="49">
        <f xml:space="preserve"> AVERAGE(C12:C17)/5</f>
        <v>1E-4</v>
      </c>
      <c r="D66">
        <f t="shared" ref="D66:D71" si="23">ROUND(PRODUCT(B66:C66),0)</f>
        <v>2</v>
      </c>
      <c r="E66" s="50">
        <f>C8</f>
        <v>15.99</v>
      </c>
      <c r="F66" s="50">
        <f t="shared" ref="F66:F71" si="24">PRODUCT(D66:E66)</f>
        <v>31.98</v>
      </c>
      <c r="G66" s="50">
        <f t="shared" ref="G66:G71" si="25">SUM(G65,F66)</f>
        <v>31.98</v>
      </c>
      <c r="H66">
        <f>E8-SUM(D66)</f>
        <v>148</v>
      </c>
      <c r="J66" s="66">
        <f>F8</f>
        <v>957</v>
      </c>
      <c r="K66" s="66">
        <f>G71</f>
        <v>191.88</v>
      </c>
      <c r="L66" s="71">
        <f>G71 - F8</f>
        <v>-765.12</v>
      </c>
      <c r="M66" s="3" t="e" cm="1">
        <f t="array" ref="M66">INDEX(A66:A71, MATCH(TRUE, G66:G71&gt;=F8, 0))</f>
        <v>#N/A</v>
      </c>
    </row>
    <row r="67" spans="1:13">
      <c r="A67" t="s">
        <v>117</v>
      </c>
      <c r="B67">
        <v>21546</v>
      </c>
      <c r="C67" s="49">
        <f xml:space="preserve"> AVERAGE(C12:C17)/5</f>
        <v>1E-4</v>
      </c>
      <c r="D67">
        <f t="shared" si="23"/>
        <v>2</v>
      </c>
      <c r="E67" s="50">
        <f>C8</f>
        <v>15.99</v>
      </c>
      <c r="F67" s="50">
        <f t="shared" si="24"/>
        <v>31.98</v>
      </c>
      <c r="G67" s="50">
        <f t="shared" si="25"/>
        <v>63.96</v>
      </c>
      <c r="H67">
        <f>H66-D67</f>
        <v>146</v>
      </c>
      <c r="J67" s="3"/>
      <c r="K67" s="3"/>
      <c r="L67" s="3"/>
      <c r="M67" s="3"/>
    </row>
    <row r="68" spans="1:13">
      <c r="A68" t="s">
        <v>118</v>
      </c>
      <c r="B68">
        <v>22327</v>
      </c>
      <c r="C68" s="49">
        <f xml:space="preserve"> AVERAGE(C12:C17)/5</f>
        <v>1E-4</v>
      </c>
      <c r="D68">
        <f t="shared" si="23"/>
        <v>2</v>
      </c>
      <c r="E68" s="50">
        <f>C8</f>
        <v>15.99</v>
      </c>
      <c r="F68" s="50">
        <f t="shared" si="24"/>
        <v>31.98</v>
      </c>
      <c r="G68" s="50">
        <f t="shared" si="25"/>
        <v>95.94</v>
      </c>
      <c r="H68">
        <f>H67-D68</f>
        <v>144</v>
      </c>
      <c r="J68" s="72" t="s">
        <v>162</v>
      </c>
      <c r="K68" s="73" t="s">
        <v>163</v>
      </c>
      <c r="L68" s="87" t="s">
        <v>164</v>
      </c>
      <c r="M68" s="67" t="s">
        <v>3</v>
      </c>
    </row>
    <row r="69" spans="1:13">
      <c r="A69" t="s">
        <v>121</v>
      </c>
      <c r="B69">
        <v>23134</v>
      </c>
      <c r="C69" s="49">
        <f xml:space="preserve"> AVERAGE(C12:C17)/5</f>
        <v>1E-4</v>
      </c>
      <c r="D69">
        <f t="shared" si="23"/>
        <v>2</v>
      </c>
      <c r="E69" s="50">
        <f>C8</f>
        <v>15.99</v>
      </c>
      <c r="F69" s="50">
        <f t="shared" si="24"/>
        <v>31.98</v>
      </c>
      <c r="G69" s="50">
        <f t="shared" si="25"/>
        <v>127.92</v>
      </c>
      <c r="H69">
        <f>H68-D69</f>
        <v>142</v>
      </c>
      <c r="J69" s="13" t="str" cm="1">
        <f t="array" ref="J69">IFERROR(INDEX(A66:A71, MATCH(TRUE, H66:H71 &lt; J72, 0)), "No Restock Needed")</f>
        <v>No Restock Needed</v>
      </c>
      <c r="K69" s="3">
        <f>SUM(D66:D71)</f>
        <v>12</v>
      </c>
      <c r="L69" s="66">
        <f>AVERAGE(F66:F71)</f>
        <v>31.98</v>
      </c>
      <c r="M69" s="65">
        <f xml:space="preserve"> ROUND(L66/K66,3)</f>
        <v>-3.9870000000000001</v>
      </c>
    </row>
    <row r="70" spans="1:13">
      <c r="A70" t="s">
        <v>122</v>
      </c>
      <c r="B70">
        <v>23969</v>
      </c>
      <c r="C70" s="49">
        <f xml:space="preserve"> AVERAGE(C12:C17)/5</f>
        <v>1E-4</v>
      </c>
      <c r="D70">
        <f t="shared" si="23"/>
        <v>2</v>
      </c>
      <c r="E70" s="50">
        <f>C8</f>
        <v>15.99</v>
      </c>
      <c r="F70" s="50">
        <f t="shared" si="24"/>
        <v>31.98</v>
      </c>
      <c r="G70" s="50">
        <f t="shared" si="25"/>
        <v>159.9</v>
      </c>
      <c r="H70">
        <f>H69-D70</f>
        <v>140</v>
      </c>
      <c r="J70" s="3"/>
      <c r="K70" s="3"/>
      <c r="L70" s="3"/>
      <c r="M70" s="3"/>
    </row>
    <row r="71" spans="1:13">
      <c r="A71" t="s">
        <v>123</v>
      </c>
      <c r="B71">
        <v>24833</v>
      </c>
      <c r="C71" s="49">
        <f xml:space="preserve"> AVERAGE(C12:C17)/5</f>
        <v>1E-4</v>
      </c>
      <c r="D71">
        <f t="shared" si="23"/>
        <v>2</v>
      </c>
      <c r="E71" s="50">
        <f>C8</f>
        <v>15.99</v>
      </c>
      <c r="F71" s="50">
        <f t="shared" si="24"/>
        <v>31.98</v>
      </c>
      <c r="G71" s="50">
        <f t="shared" si="25"/>
        <v>191.88</v>
      </c>
      <c r="H71">
        <f>H70-D71</f>
        <v>138</v>
      </c>
      <c r="J71" s="74" t="s">
        <v>168</v>
      </c>
      <c r="K71" s="75" t="s">
        <v>169</v>
      </c>
      <c r="L71" s="76" t="s">
        <v>132</v>
      </c>
      <c r="M71" s="63" t="s">
        <v>170</v>
      </c>
    </row>
    <row r="72" spans="1:13">
      <c r="J72" s="3">
        <f>ROUND(AVERAGE(D66:D71) * VALUE(LEFT(M72, FIND(" ", M72)-1)) +L72, 0)</f>
        <v>4</v>
      </c>
      <c r="K72" s="3">
        <f>E8 - SUM(D66:D71)</f>
        <v>138</v>
      </c>
      <c r="L72" s="3">
        <f>ROUND(AVERAGE(D66:D71) * R12, 0)</f>
        <v>3</v>
      </c>
      <c r="M72" s="3" t="s">
        <v>187</v>
      </c>
    </row>
  </sheetData>
  <conditionalFormatting sqref="H33">
    <cfRule type="expression" dxfId="65" priority="2">
      <formula>H33:H38&lt;J39</formula>
    </cfRule>
  </conditionalFormatting>
  <conditionalFormatting sqref="H55:H60">
    <cfRule type="expression" dxfId="64" priority="1">
      <formula>AND(H2&lt;$L$10, COUNTIF($H$2:H2, "&lt;"&amp;$L$10)=1)</formula>
    </cfRule>
  </conditionalFormatting>
  <pageMargins left="0.7" right="0.7" top="0.75" bottom="0.75" header="0.3" footer="0.3"/>
  <drawing r:id="rId1"/>
  <tableParts count="13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5DD905E-FF50-4BBE-824A-17F372586FD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Matthew Butterfield</dc:creator>
  <cp:keywords/>
  <dc:description/>
  <cp:lastModifiedBy/>
  <cp:revision/>
  <dcterms:created xsi:type="dcterms:W3CDTF">2025-05-28T17:43:42Z</dcterms:created>
  <dcterms:modified xsi:type="dcterms:W3CDTF">2025-08-21T00:51:51Z</dcterms:modified>
  <cp:category/>
  <cp:contentStatus/>
</cp:coreProperties>
</file>